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https://evidencebasedassociates-my.sharepoint.com/personal/hduggan_ebanetwork_com/Documents/DC Files/02 Feb 2025/"/>
    </mc:Choice>
  </mc:AlternateContent>
  <xr:revisionPtr revIDLastSave="170" documentId="8_{6D0A783E-E695-4B2A-9123-832404006A5C}" xr6:coauthVersionLast="47" xr6:coauthVersionMax="47" xr10:uidLastSave="{A7582A44-3ECC-49D3-8989-A211F8D3CC9B}"/>
  <bookViews>
    <workbookView xWindow="28680" yWindow="-120" windowWidth="21840" windowHeight="1302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data2!$A$1:$S$22996</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685" i="62" l="1"/>
  <c r="A23686" i="62"/>
  <c r="A23687" i="62"/>
  <c r="A23688" i="62"/>
  <c r="A23689" i="62"/>
  <c r="A23690" i="62"/>
  <c r="A23691" i="62"/>
  <c r="A23692" i="62"/>
  <c r="A23693" i="62"/>
  <c r="A23694" i="62"/>
  <c r="A23695" i="62"/>
  <c r="A23696" i="62"/>
  <c r="A23697" i="62"/>
  <c r="A23698" i="62"/>
  <c r="A23699" i="62"/>
  <c r="A23700" i="62"/>
  <c r="A23701" i="62"/>
  <c r="A23702" i="62"/>
  <c r="A23703" i="62"/>
  <c r="A23704" i="62"/>
  <c r="A23705" i="62"/>
  <c r="A23706" i="62"/>
  <c r="A23707" i="62"/>
  <c r="A23708" i="62"/>
  <c r="A23709" i="62"/>
  <c r="A23710" i="62"/>
  <c r="A23711" i="62"/>
  <c r="A23712" i="62"/>
  <c r="A23713" i="62"/>
  <c r="A23714" i="62"/>
  <c r="A23715" i="62"/>
  <c r="A23716" i="62"/>
  <c r="A23717" i="62"/>
  <c r="A23718" i="62"/>
  <c r="A23719" i="62"/>
  <c r="A23720" i="62"/>
  <c r="A23721" i="62"/>
  <c r="A23722" i="62"/>
  <c r="A23723" i="62"/>
  <c r="A23724" i="62"/>
  <c r="A23725" i="62"/>
  <c r="A23726" i="62"/>
  <c r="A23727" i="62"/>
  <c r="A23728" i="62"/>
  <c r="A23729" i="62"/>
  <c r="A23730" i="62"/>
  <c r="A23731" i="62"/>
  <c r="A23732" i="62"/>
  <c r="A23733" i="62"/>
  <c r="A23734" i="62"/>
  <c r="A23735" i="62"/>
  <c r="A23736" i="62"/>
  <c r="A23737" i="62"/>
  <c r="A23738" i="62"/>
  <c r="A23739" i="62"/>
  <c r="A23740" i="62"/>
  <c r="A23741" i="62"/>
  <c r="A23742" i="62"/>
  <c r="A23743" i="62"/>
  <c r="A23744" i="62"/>
  <c r="A23745" i="62"/>
  <c r="A23746" i="62"/>
  <c r="A23747" i="62"/>
  <c r="A23748" i="62"/>
  <c r="A23749" i="62"/>
  <c r="A23750" i="62"/>
  <c r="A23751" i="62"/>
  <c r="A23752" i="62"/>
  <c r="A23753" i="62"/>
  <c r="A23754" i="62"/>
  <c r="A23755" i="62"/>
  <c r="A23756" i="62"/>
  <c r="A23757" i="62"/>
  <c r="A23758" i="62"/>
  <c r="A23759" i="62"/>
  <c r="A23760" i="62"/>
  <c r="A23761" i="62"/>
  <c r="A23762" i="62"/>
  <c r="A23763" i="62"/>
  <c r="A23764" i="62"/>
  <c r="A23765" i="62"/>
  <c r="A23766" i="62"/>
  <c r="A23767" i="62"/>
  <c r="A23768" i="62"/>
  <c r="A23769" i="62"/>
  <c r="A23770" i="62"/>
  <c r="A23771" i="62"/>
  <c r="A23772" i="62"/>
  <c r="A23773" i="62"/>
  <c r="A23774" i="62"/>
  <c r="A23775" i="62"/>
  <c r="A23776" i="62"/>
  <c r="A23777" i="62"/>
  <c r="A23778" i="62"/>
  <c r="A23779" i="62"/>
  <c r="A23780" i="62"/>
  <c r="A23781" i="62"/>
  <c r="A23782" i="62"/>
  <c r="A23783" i="62"/>
  <c r="A23784" i="62"/>
  <c r="A23785" i="62"/>
  <c r="A23786" i="62"/>
  <c r="A23787" i="62"/>
  <c r="A23788" i="62"/>
  <c r="A23789" i="62"/>
  <c r="A23790" i="62"/>
  <c r="A23791" i="62"/>
  <c r="A23792" i="62"/>
  <c r="A23793" i="62"/>
  <c r="A23794" i="62"/>
  <c r="A23795" i="62"/>
  <c r="A23796" i="62"/>
  <c r="A23797" i="62"/>
  <c r="A23798" i="62"/>
  <c r="A23799" i="62"/>
  <c r="A23800" i="62"/>
  <c r="A23801" i="62"/>
  <c r="A23802" i="62"/>
  <c r="A23803" i="62"/>
  <c r="A23804" i="62"/>
  <c r="A23805" i="62"/>
  <c r="A23806" i="62"/>
  <c r="A23807" i="62"/>
  <c r="A23808" i="62"/>
  <c r="A23809" i="62"/>
  <c r="A23810" i="62"/>
  <c r="A23811" i="62"/>
  <c r="A23812" i="62"/>
  <c r="A23813" i="62"/>
  <c r="A23814" i="62"/>
  <c r="A23815" i="62"/>
  <c r="A23816" i="62"/>
  <c r="A23817" i="62"/>
  <c r="A23818" i="62"/>
  <c r="A23819" i="62"/>
  <c r="A23820" i="62"/>
  <c r="A23821" i="62"/>
  <c r="A23822" i="62"/>
  <c r="A23823" i="62"/>
  <c r="A23824" i="62"/>
  <c r="A23825" i="62"/>
  <c r="A23826" i="62"/>
  <c r="A23827" i="62"/>
  <c r="A23828" i="62"/>
  <c r="A23829" i="62"/>
  <c r="A23830" i="62"/>
  <c r="A23831" i="62"/>
  <c r="A23832" i="62"/>
  <c r="A23833" i="62"/>
  <c r="A23834" i="62"/>
  <c r="A23835" i="62"/>
  <c r="A23836" i="62"/>
  <c r="A23837" i="62"/>
  <c r="A23838" i="62"/>
  <c r="A23839" i="62"/>
  <c r="A23840" i="62"/>
  <c r="A23841" i="62"/>
  <c r="A23842" i="62"/>
  <c r="A23843" i="62"/>
  <c r="A23844" i="62"/>
  <c r="A23845" i="62"/>
  <c r="A23846" i="62"/>
  <c r="A23847" i="62"/>
  <c r="A23848" i="62"/>
  <c r="A23849" i="62"/>
  <c r="A23850" i="62"/>
  <c r="A23851" i="62"/>
  <c r="A23852" i="62"/>
  <c r="A23853" i="62"/>
  <c r="A23854" i="62"/>
  <c r="A23855" i="62"/>
  <c r="A23856" i="62"/>
  <c r="A23857" i="62"/>
  <c r="A23858" i="62"/>
  <c r="A23859" i="62"/>
  <c r="A23860" i="62"/>
  <c r="A23861" i="62"/>
  <c r="A23862" i="62"/>
  <c r="A23863" i="62"/>
  <c r="A23864" i="62"/>
  <c r="A23865" i="62"/>
  <c r="A23866" i="62"/>
  <c r="A23867" i="62"/>
  <c r="A23868" i="62"/>
  <c r="A23869" i="62"/>
  <c r="A23870" i="62"/>
  <c r="A23871" i="62"/>
  <c r="A23872" i="62"/>
  <c r="A23873" i="62"/>
  <c r="A23874" i="62"/>
  <c r="A23875" i="62"/>
  <c r="A23876" i="62"/>
  <c r="A23877" i="62"/>
  <c r="A23878" i="62"/>
  <c r="A23879" i="62"/>
  <c r="A23880" i="62"/>
  <c r="A23881" i="62"/>
  <c r="A23882" i="62"/>
  <c r="A23883" i="62"/>
  <c r="A23884" i="62"/>
  <c r="A23885" i="62"/>
  <c r="A23886" i="62"/>
  <c r="A23887" i="62"/>
  <c r="A23888" i="62"/>
  <c r="A23889" i="62"/>
  <c r="A23890" i="62"/>
  <c r="A23891" i="62"/>
  <c r="A23892" i="62"/>
  <c r="A23893" i="62"/>
  <c r="A23894" i="62"/>
  <c r="A23895" i="62"/>
  <c r="A23896" i="62"/>
  <c r="A23897" i="62"/>
  <c r="A23898" i="62"/>
  <c r="A23899" i="62"/>
  <c r="A23900" i="62"/>
  <c r="A23901" i="62"/>
  <c r="A23902" i="62"/>
  <c r="A23903" i="62"/>
  <c r="A23904" i="62"/>
  <c r="A23905" i="62"/>
  <c r="A23906" i="62"/>
  <c r="A23907" i="62"/>
  <c r="A23908" i="62"/>
  <c r="A23909" i="62"/>
  <c r="A23910" i="62"/>
  <c r="A23911" i="62"/>
  <c r="A23912" i="62"/>
  <c r="A23684" i="62"/>
  <c r="A23456" i="62"/>
  <c r="A23457" i="62"/>
  <c r="A23458" i="62"/>
  <c r="A23459" i="62"/>
  <c r="A23460" i="62"/>
  <c r="A23461" i="62"/>
  <c r="A23462" i="62"/>
  <c r="A23463" i="62"/>
  <c r="A23464" i="62"/>
  <c r="A23465" i="62"/>
  <c r="A23466" i="62"/>
  <c r="A23467" i="62"/>
  <c r="A23468" i="62"/>
  <c r="A23469" i="62"/>
  <c r="A23470" i="62"/>
  <c r="A23471" i="62"/>
  <c r="A23472" i="62"/>
  <c r="A23473" i="62"/>
  <c r="A23474" i="62"/>
  <c r="A23475" i="62"/>
  <c r="A23476" i="62"/>
  <c r="A23477" i="62"/>
  <c r="A23478" i="62"/>
  <c r="A23479" i="62"/>
  <c r="A23480" i="62"/>
  <c r="A23481" i="62"/>
  <c r="A23482" i="62"/>
  <c r="A23483" i="62"/>
  <c r="A23484" i="62"/>
  <c r="A23485" i="62"/>
  <c r="A23486" i="62"/>
  <c r="A23487" i="62"/>
  <c r="A23488" i="62"/>
  <c r="A23489" i="62"/>
  <c r="A23490" i="62"/>
  <c r="A23491" i="62"/>
  <c r="A23492" i="62"/>
  <c r="A23493" i="62"/>
  <c r="A23494" i="62"/>
  <c r="A23495" i="62"/>
  <c r="A23496" i="62"/>
  <c r="A23497" i="62"/>
  <c r="A23498" i="62"/>
  <c r="A23499" i="62"/>
  <c r="A23500" i="62"/>
  <c r="A23501" i="62"/>
  <c r="A23502" i="62"/>
  <c r="A23503" i="62"/>
  <c r="A23504" i="62"/>
  <c r="A23505" i="62"/>
  <c r="A23506" i="62"/>
  <c r="A23507" i="62"/>
  <c r="A23508" i="62"/>
  <c r="A23509" i="62"/>
  <c r="A23510" i="62"/>
  <c r="A23511" i="62"/>
  <c r="A23512" i="62"/>
  <c r="A23513" i="62"/>
  <c r="A23514" i="62"/>
  <c r="A23515" i="62"/>
  <c r="A23516" i="62"/>
  <c r="A23517" i="62"/>
  <c r="A23518" i="62"/>
  <c r="A23519" i="62"/>
  <c r="A23520" i="62"/>
  <c r="A23521" i="62"/>
  <c r="A23522" i="62"/>
  <c r="A23523" i="62"/>
  <c r="A23524" i="62"/>
  <c r="A23525" i="62"/>
  <c r="A23526" i="62"/>
  <c r="A23527" i="62"/>
  <c r="A23528" i="62"/>
  <c r="A23529" i="62"/>
  <c r="A23530" i="62"/>
  <c r="A23531" i="62"/>
  <c r="A23532" i="62"/>
  <c r="A23533" i="62"/>
  <c r="A23534" i="62"/>
  <c r="A23535" i="62"/>
  <c r="A23536" i="62"/>
  <c r="A23537" i="62"/>
  <c r="A23538" i="62"/>
  <c r="A23539" i="62"/>
  <c r="A23540" i="62"/>
  <c r="A23541" i="62"/>
  <c r="A23542" i="62"/>
  <c r="A23543" i="62"/>
  <c r="A23544" i="62"/>
  <c r="A23545" i="62"/>
  <c r="A23546" i="62"/>
  <c r="A23547" i="62"/>
  <c r="A23548" i="62"/>
  <c r="A23549" i="62"/>
  <c r="A23550" i="62"/>
  <c r="A23551" i="62"/>
  <c r="A23552" i="62"/>
  <c r="A23553" i="62"/>
  <c r="A23554" i="62"/>
  <c r="A23555" i="62"/>
  <c r="A23556" i="62"/>
  <c r="A23557" i="62"/>
  <c r="A23558" i="62"/>
  <c r="A23559" i="62"/>
  <c r="A23560" i="62"/>
  <c r="A23561" i="62"/>
  <c r="A23562" i="62"/>
  <c r="A23563" i="62"/>
  <c r="A23564" i="62"/>
  <c r="A23565" i="62"/>
  <c r="A23566" i="62"/>
  <c r="A23567" i="62"/>
  <c r="A23568" i="62"/>
  <c r="A23569" i="62"/>
  <c r="A23570" i="62"/>
  <c r="A23571" i="62"/>
  <c r="A23572" i="62"/>
  <c r="A23573" i="62"/>
  <c r="A23574" i="62"/>
  <c r="A23575" i="62"/>
  <c r="A23576" i="62"/>
  <c r="A23577" i="62"/>
  <c r="A23578" i="62"/>
  <c r="A23579" i="62"/>
  <c r="A23580" i="62"/>
  <c r="A23581" i="62"/>
  <c r="A23582" i="62"/>
  <c r="A23583" i="62"/>
  <c r="A23584" i="62"/>
  <c r="A23585" i="62"/>
  <c r="A23586" i="62"/>
  <c r="A23587" i="62"/>
  <c r="A23588" i="62"/>
  <c r="A23589" i="62"/>
  <c r="A23590" i="62"/>
  <c r="A23591" i="62"/>
  <c r="A23592" i="62"/>
  <c r="A23593" i="62"/>
  <c r="A23594" i="62"/>
  <c r="A23595" i="62"/>
  <c r="A23596" i="62"/>
  <c r="A23597" i="62"/>
  <c r="A23598" i="62"/>
  <c r="A23599" i="62"/>
  <c r="A23600" i="62"/>
  <c r="A23601" i="62"/>
  <c r="A23602" i="62"/>
  <c r="A23603" i="62"/>
  <c r="A23604" i="62"/>
  <c r="A23605" i="62"/>
  <c r="A23606" i="62"/>
  <c r="A23607" i="62"/>
  <c r="A23608" i="62"/>
  <c r="A23609" i="62"/>
  <c r="A23610" i="62"/>
  <c r="A23611" i="62"/>
  <c r="A23612" i="62"/>
  <c r="A23613" i="62"/>
  <c r="A23614" i="62"/>
  <c r="A23615" i="62"/>
  <c r="A23616" i="62"/>
  <c r="A23617" i="62"/>
  <c r="A23618" i="62"/>
  <c r="A23619" i="62"/>
  <c r="A23620" i="62"/>
  <c r="A23621" i="62"/>
  <c r="A23622" i="62"/>
  <c r="A23623" i="62"/>
  <c r="A23624" i="62"/>
  <c r="A23625" i="62"/>
  <c r="A23626" i="62"/>
  <c r="A23627" i="62"/>
  <c r="A23628" i="62"/>
  <c r="A23629" i="62"/>
  <c r="A23630" i="62"/>
  <c r="A23631" i="62"/>
  <c r="A23632" i="62"/>
  <c r="A23633" i="62"/>
  <c r="A23634" i="62"/>
  <c r="A23635" i="62"/>
  <c r="A23636" i="62"/>
  <c r="A23637" i="62"/>
  <c r="A23638" i="62"/>
  <c r="A23639" i="62"/>
  <c r="A23640" i="62"/>
  <c r="A23641" i="62"/>
  <c r="A23642" i="62"/>
  <c r="A23643" i="62"/>
  <c r="A23644" i="62"/>
  <c r="A23645" i="62"/>
  <c r="A23646" i="62"/>
  <c r="A23647" i="62"/>
  <c r="A23648" i="62"/>
  <c r="A23649" i="62"/>
  <c r="A23650" i="62"/>
  <c r="A23651" i="62"/>
  <c r="A23652" i="62"/>
  <c r="A23653" i="62"/>
  <c r="A23654" i="62"/>
  <c r="A23655" i="62"/>
  <c r="A23656" i="62"/>
  <c r="A23657" i="62"/>
  <c r="A23658" i="62"/>
  <c r="A23659" i="62"/>
  <c r="A23660" i="62"/>
  <c r="A23661" i="62"/>
  <c r="A23662" i="62"/>
  <c r="A23663" i="62"/>
  <c r="A23664" i="62"/>
  <c r="A23665" i="62"/>
  <c r="A23666" i="62"/>
  <c r="A23667" i="62"/>
  <c r="A23668" i="62"/>
  <c r="A23669" i="62"/>
  <c r="A23670" i="62"/>
  <c r="A23671" i="62"/>
  <c r="A23672" i="62"/>
  <c r="A23673" i="62"/>
  <c r="A23674" i="62"/>
  <c r="A23675" i="62"/>
  <c r="A23676" i="62"/>
  <c r="A23677" i="62"/>
  <c r="A23678" i="62"/>
  <c r="A23679" i="62"/>
  <c r="A23680" i="62"/>
  <c r="A23681" i="62"/>
  <c r="A23682" i="62"/>
  <c r="A23683" i="62"/>
  <c r="A23455" i="62"/>
  <c r="A23227" i="62"/>
  <c r="A23228" i="62"/>
  <c r="A23229" i="62"/>
  <c r="A23230" i="62"/>
  <c r="A23231" i="62"/>
  <c r="A23232" i="62"/>
  <c r="A23233" i="62"/>
  <c r="A23234" i="62"/>
  <c r="A23235" i="62"/>
  <c r="A23236" i="62"/>
  <c r="A23237" i="62"/>
  <c r="A23238" i="62"/>
  <c r="A23239" i="62"/>
  <c r="A23240" i="62"/>
  <c r="A23241" i="62"/>
  <c r="A23242" i="62"/>
  <c r="A23243" i="62"/>
  <c r="A23244" i="62"/>
  <c r="A23245" i="62"/>
  <c r="A23246" i="62"/>
  <c r="A23247" i="62"/>
  <c r="A23248" i="62"/>
  <c r="A23249" i="62"/>
  <c r="A23250" i="62"/>
  <c r="A23251" i="62"/>
  <c r="A23252" i="62"/>
  <c r="A23253" i="62"/>
  <c r="A23254" i="62"/>
  <c r="A23255" i="62"/>
  <c r="A23256" i="62"/>
  <c r="A23257" i="62"/>
  <c r="A23258" i="62"/>
  <c r="A23259" i="62"/>
  <c r="A23260" i="62"/>
  <c r="A23261" i="62"/>
  <c r="A23262" i="62"/>
  <c r="A23263" i="62"/>
  <c r="A23264" i="62"/>
  <c r="A23265" i="62"/>
  <c r="A23266" i="62"/>
  <c r="A23267" i="62"/>
  <c r="A23268" i="62"/>
  <c r="A23269" i="62"/>
  <c r="A23270" i="62"/>
  <c r="A23271" i="62"/>
  <c r="A23272" i="62"/>
  <c r="A23273" i="62"/>
  <c r="A23274" i="62"/>
  <c r="A23275" i="62"/>
  <c r="A23276" i="62"/>
  <c r="A23277" i="62"/>
  <c r="A23278" i="62"/>
  <c r="A23279" i="62"/>
  <c r="A23280" i="62"/>
  <c r="A23281" i="62"/>
  <c r="A23282" i="62"/>
  <c r="A23283" i="62"/>
  <c r="A23284" i="62"/>
  <c r="A23285" i="62"/>
  <c r="A23286" i="62"/>
  <c r="A23287" i="62"/>
  <c r="A23288" i="62"/>
  <c r="A23289" i="62"/>
  <c r="A23290" i="62"/>
  <c r="A23291" i="62"/>
  <c r="A23292" i="62"/>
  <c r="A23293" i="62"/>
  <c r="A23294" i="62"/>
  <c r="A23295" i="62"/>
  <c r="A23296" i="62"/>
  <c r="A23297" i="62"/>
  <c r="A23298" i="62"/>
  <c r="A23299" i="62"/>
  <c r="A23300" i="62"/>
  <c r="A23301" i="62"/>
  <c r="A23302" i="62"/>
  <c r="A23303" i="62"/>
  <c r="A23304" i="62"/>
  <c r="A23305" i="62"/>
  <c r="A23306" i="62"/>
  <c r="A23307" i="62"/>
  <c r="A23308" i="62"/>
  <c r="A23309" i="62"/>
  <c r="A23310" i="62"/>
  <c r="A23311" i="62"/>
  <c r="A23312" i="62"/>
  <c r="A23313" i="62"/>
  <c r="A23314" i="62"/>
  <c r="A23315" i="62"/>
  <c r="A23316" i="62"/>
  <c r="A23317" i="62"/>
  <c r="A23318" i="62"/>
  <c r="A23319" i="62"/>
  <c r="A23320" i="62"/>
  <c r="A23321" i="62"/>
  <c r="A23322" i="62"/>
  <c r="A23323" i="62"/>
  <c r="A23324" i="62"/>
  <c r="A23325" i="62"/>
  <c r="A23326" i="62"/>
  <c r="A23327" i="62"/>
  <c r="A23328" i="62"/>
  <c r="A23329" i="62"/>
  <c r="A23330" i="62"/>
  <c r="A23331" i="62"/>
  <c r="A23332" i="62"/>
  <c r="A23333" i="62"/>
  <c r="A23334" i="62"/>
  <c r="A23335" i="62"/>
  <c r="A23336" i="62"/>
  <c r="A23337" i="62"/>
  <c r="A23338" i="62"/>
  <c r="A23339" i="62"/>
  <c r="A23340" i="62"/>
  <c r="A23341" i="62"/>
  <c r="A23342" i="62"/>
  <c r="A23343" i="62"/>
  <c r="A23344" i="62"/>
  <c r="A23345" i="62"/>
  <c r="A23346" i="62"/>
  <c r="A23347" i="62"/>
  <c r="A23348" i="62"/>
  <c r="A23349" i="62"/>
  <c r="A23350" i="62"/>
  <c r="A23351" i="62"/>
  <c r="A23352" i="62"/>
  <c r="A23353" i="62"/>
  <c r="A23354" i="62"/>
  <c r="A23355" i="62"/>
  <c r="A23356" i="62"/>
  <c r="A23357" i="62"/>
  <c r="A23358" i="62"/>
  <c r="A23359" i="62"/>
  <c r="A23360" i="62"/>
  <c r="A23361" i="62"/>
  <c r="A23362" i="62"/>
  <c r="A23363" i="62"/>
  <c r="A23364" i="62"/>
  <c r="A23365" i="62"/>
  <c r="A23366" i="62"/>
  <c r="A23367" i="62"/>
  <c r="A23368" i="62"/>
  <c r="A23369" i="62"/>
  <c r="A23370" i="62"/>
  <c r="A23371" i="62"/>
  <c r="A23372" i="62"/>
  <c r="A23373" i="62"/>
  <c r="A23374" i="62"/>
  <c r="A23375" i="62"/>
  <c r="A23376" i="62"/>
  <c r="A23377" i="62"/>
  <c r="A23378" i="62"/>
  <c r="A23379" i="62"/>
  <c r="A23380" i="62"/>
  <c r="A23381" i="62"/>
  <c r="A23382" i="62"/>
  <c r="A23383" i="62"/>
  <c r="A23384" i="62"/>
  <c r="A23385" i="62"/>
  <c r="A23386" i="62"/>
  <c r="A23387" i="62"/>
  <c r="A23388" i="62"/>
  <c r="A23389" i="62"/>
  <c r="A23390" i="62"/>
  <c r="A23391" i="62"/>
  <c r="A23392" i="62"/>
  <c r="A23393" i="62"/>
  <c r="A23394" i="62"/>
  <c r="A23395" i="62"/>
  <c r="A23396" i="62"/>
  <c r="A23397" i="62"/>
  <c r="A23398" i="62"/>
  <c r="A23399" i="62"/>
  <c r="A23400" i="62"/>
  <c r="A23401" i="62"/>
  <c r="A23402" i="62"/>
  <c r="A23403" i="62"/>
  <c r="A23404" i="62"/>
  <c r="A23405" i="62"/>
  <c r="A23406" i="62"/>
  <c r="A23407" i="62"/>
  <c r="A23408" i="62"/>
  <c r="A23409" i="62"/>
  <c r="A23410" i="62"/>
  <c r="A23411" i="62"/>
  <c r="A23412" i="62"/>
  <c r="A23413" i="62"/>
  <c r="A23414" i="62"/>
  <c r="A23415" i="62"/>
  <c r="A23416" i="62"/>
  <c r="A23417" i="62"/>
  <c r="A23418" i="62"/>
  <c r="A23419" i="62"/>
  <c r="A23420" i="62"/>
  <c r="A23421" i="62"/>
  <c r="A23422" i="62"/>
  <c r="A23423" i="62"/>
  <c r="A23424" i="62"/>
  <c r="A23425" i="62"/>
  <c r="A23426" i="62"/>
  <c r="A23427" i="62"/>
  <c r="A23428" i="62"/>
  <c r="A23429" i="62"/>
  <c r="A23430" i="62"/>
  <c r="A23431" i="62"/>
  <c r="A23432" i="62"/>
  <c r="A23433" i="62"/>
  <c r="A23434" i="62"/>
  <c r="A23435" i="62"/>
  <c r="A23436" i="62"/>
  <c r="A23437" i="62"/>
  <c r="A23438" i="62"/>
  <c r="A23439" i="62"/>
  <c r="A23440" i="62"/>
  <c r="A23441" i="62"/>
  <c r="A23442" i="62"/>
  <c r="A23443" i="62"/>
  <c r="A23444" i="62"/>
  <c r="A23445" i="62"/>
  <c r="A23446" i="62"/>
  <c r="A23447" i="62"/>
  <c r="A23448" i="62"/>
  <c r="A23449" i="62"/>
  <c r="A23450" i="62"/>
  <c r="A23451" i="62"/>
  <c r="A23452" i="62"/>
  <c r="A23453" i="62"/>
  <c r="A23454" i="62"/>
  <c r="A23226" i="62"/>
  <c r="C67" i="63"/>
  <c r="A22998" i="62"/>
  <c r="A22999" i="62"/>
  <c r="A23000" i="62"/>
  <c r="A23001" i="62"/>
  <c r="A23002" i="62"/>
  <c r="A23003" i="62"/>
  <c r="A23004" i="62"/>
  <c r="A23005" i="62"/>
  <c r="A23006" i="62"/>
  <c r="A23007" i="62"/>
  <c r="A23008" i="62"/>
  <c r="A23009" i="62"/>
  <c r="A23010" i="62"/>
  <c r="A23011" i="62"/>
  <c r="A23012" i="62"/>
  <c r="A23013" i="62"/>
  <c r="A23014" i="62"/>
  <c r="A23015" i="62"/>
  <c r="A23016" i="62"/>
  <c r="A23017" i="62"/>
  <c r="A23018" i="62"/>
  <c r="A23019" i="62"/>
  <c r="A23020" i="62"/>
  <c r="A23021" i="62"/>
  <c r="A23022" i="62"/>
  <c r="A23023" i="62"/>
  <c r="A23024" i="62"/>
  <c r="A23025" i="62"/>
  <c r="A23026" i="62"/>
  <c r="A23027" i="62"/>
  <c r="A23028" i="62"/>
  <c r="A23029" i="62"/>
  <c r="A23030" i="62"/>
  <c r="A23031" i="62"/>
  <c r="A23032" i="62"/>
  <c r="A23033" i="62"/>
  <c r="A23034" i="62"/>
  <c r="A23035" i="62"/>
  <c r="A23036" i="62"/>
  <c r="A23037" i="62"/>
  <c r="A23038" i="62"/>
  <c r="A23039" i="62"/>
  <c r="A23040" i="62"/>
  <c r="A23041" i="62"/>
  <c r="A23042" i="62"/>
  <c r="A23043" i="62"/>
  <c r="A23044" i="62"/>
  <c r="A23045" i="62"/>
  <c r="A23046" i="62"/>
  <c r="A23047" i="62"/>
  <c r="A23048" i="62"/>
  <c r="A23049" i="62"/>
  <c r="A23050" i="62"/>
  <c r="A23051" i="62"/>
  <c r="A23052" i="62"/>
  <c r="A23053" i="62"/>
  <c r="A23054" i="62"/>
  <c r="A23055" i="62"/>
  <c r="A23056" i="62"/>
  <c r="A23057" i="62"/>
  <c r="A23058" i="62"/>
  <c r="A23059" i="62"/>
  <c r="A23060" i="62"/>
  <c r="A23061" i="62"/>
  <c r="A23062" i="62"/>
  <c r="A23063" i="62"/>
  <c r="A23064" i="62"/>
  <c r="A23065" i="62"/>
  <c r="A23066" i="62"/>
  <c r="A23067" i="62"/>
  <c r="A23068" i="62"/>
  <c r="A23069" i="62"/>
  <c r="A23070" i="62"/>
  <c r="A23071" i="62"/>
  <c r="A23072" i="62"/>
  <c r="A23073" i="62"/>
  <c r="A23074" i="62"/>
  <c r="A23075" i="62"/>
  <c r="A23076" i="62"/>
  <c r="A23077" i="62"/>
  <c r="A23078" i="62"/>
  <c r="A23079" i="62"/>
  <c r="A23080" i="62"/>
  <c r="A23081" i="62"/>
  <c r="A23082" i="62"/>
  <c r="A23083" i="62"/>
  <c r="A23084" i="62"/>
  <c r="A23085" i="62"/>
  <c r="A23086" i="62"/>
  <c r="A23087" i="62"/>
  <c r="A23088" i="62"/>
  <c r="A23089" i="62"/>
  <c r="A23090" i="62"/>
  <c r="A23091" i="62"/>
  <c r="A23092" i="62"/>
  <c r="A23093" i="62"/>
  <c r="A23094" i="62"/>
  <c r="A23095" i="62"/>
  <c r="A23096" i="62"/>
  <c r="A23097" i="62"/>
  <c r="A23098" i="62"/>
  <c r="A23099" i="62"/>
  <c r="A23100" i="62"/>
  <c r="A23101" i="62"/>
  <c r="A23102" i="62"/>
  <c r="A23103" i="62"/>
  <c r="A23104" i="62"/>
  <c r="A23105" i="62"/>
  <c r="A23106" i="62"/>
  <c r="A23107" i="62"/>
  <c r="A23108" i="62"/>
  <c r="A23109" i="62"/>
  <c r="A23110" i="62"/>
  <c r="A23111" i="62"/>
  <c r="A23112" i="62"/>
  <c r="A23113" i="62"/>
  <c r="A23114" i="62"/>
  <c r="A23115" i="62"/>
  <c r="A23116" i="62"/>
  <c r="A23117" i="62"/>
  <c r="A23118" i="62"/>
  <c r="A23119" i="62"/>
  <c r="A23120" i="62"/>
  <c r="A23121" i="62"/>
  <c r="A23122" i="62"/>
  <c r="A23123" i="62"/>
  <c r="A23124" i="62"/>
  <c r="A23125" i="62"/>
  <c r="A23126" i="62"/>
  <c r="A23127" i="62"/>
  <c r="A23128" i="62"/>
  <c r="A23129" i="62"/>
  <c r="A23130" i="62"/>
  <c r="A23131" i="62"/>
  <c r="A23132" i="62"/>
  <c r="A23133" i="62"/>
  <c r="A23134" i="62"/>
  <c r="A23135" i="62"/>
  <c r="A23136" i="62"/>
  <c r="A23137" i="62"/>
  <c r="A23138" i="62"/>
  <c r="A23139" i="62"/>
  <c r="A23140" i="62"/>
  <c r="A23141" i="62"/>
  <c r="A23142" i="62"/>
  <c r="A23143" i="62"/>
  <c r="A23144" i="62"/>
  <c r="A23145" i="62"/>
  <c r="A23146" i="62"/>
  <c r="A23147" i="62"/>
  <c r="A23148" i="62"/>
  <c r="A23149" i="62"/>
  <c r="A23150" i="62"/>
  <c r="A23151" i="62"/>
  <c r="A23152" i="62"/>
  <c r="A23153" i="62"/>
  <c r="A23154" i="62"/>
  <c r="A23155" i="62"/>
  <c r="A23156" i="62"/>
  <c r="A23157" i="62"/>
  <c r="A23158" i="62"/>
  <c r="A23159" i="62"/>
  <c r="A23160" i="62"/>
  <c r="A23161" i="62"/>
  <c r="A23162" i="62"/>
  <c r="A23163" i="62"/>
  <c r="A23164" i="62"/>
  <c r="A23165" i="62"/>
  <c r="A23166" i="62"/>
  <c r="A23167" i="62"/>
  <c r="A23168" i="62"/>
  <c r="A23169" i="62"/>
  <c r="A23170" i="62"/>
  <c r="A23171" i="62"/>
  <c r="A23172" i="62"/>
  <c r="A23173" i="62"/>
  <c r="A23174" i="62"/>
  <c r="A23175" i="62"/>
  <c r="A23176" i="62"/>
  <c r="A23177" i="62"/>
  <c r="A23178" i="62"/>
  <c r="A23179" i="62"/>
  <c r="A23180" i="62"/>
  <c r="A23181" i="62"/>
  <c r="A23182" i="62"/>
  <c r="A23183" i="62"/>
  <c r="A23184" i="62"/>
  <c r="A23185" i="62"/>
  <c r="A23186" i="62"/>
  <c r="A23187" i="62"/>
  <c r="A23188" i="62"/>
  <c r="A23189" i="62"/>
  <c r="A23190" i="62"/>
  <c r="A23191" i="62"/>
  <c r="A23192" i="62"/>
  <c r="A23193" i="62"/>
  <c r="A23194" i="62"/>
  <c r="A23195" i="62"/>
  <c r="A23196" i="62"/>
  <c r="A23197" i="62"/>
  <c r="A23198" i="62"/>
  <c r="A23199" i="62"/>
  <c r="A23200" i="62"/>
  <c r="A23201" i="62"/>
  <c r="A23202" i="62"/>
  <c r="A23203" i="62"/>
  <c r="A23204" i="62"/>
  <c r="A23205" i="62"/>
  <c r="A23206" i="62"/>
  <c r="A23207" i="62"/>
  <c r="A23208" i="62"/>
  <c r="A23209" i="62"/>
  <c r="A23210" i="62"/>
  <c r="A23211" i="62"/>
  <c r="A23212" i="62"/>
  <c r="A23213" i="62"/>
  <c r="A23214" i="62"/>
  <c r="A23215" i="62"/>
  <c r="A23216" i="62"/>
  <c r="A23217" i="62"/>
  <c r="A23218" i="62"/>
  <c r="A23219" i="62"/>
  <c r="A23220" i="62"/>
  <c r="A23221" i="62"/>
  <c r="A23222" i="62"/>
  <c r="A23223" i="62"/>
  <c r="A23224" i="62"/>
  <c r="A23225" i="62"/>
  <c r="A22997" i="62"/>
  <c r="A22771" i="62"/>
  <c r="A22772" i="62"/>
  <c r="A22773" i="62"/>
  <c r="A22774" i="62"/>
  <c r="A22775" i="62"/>
  <c r="A22776" i="62"/>
  <c r="A22777" i="62"/>
  <c r="A22778" i="62"/>
  <c r="A22779" i="62"/>
  <c r="A22780" i="62"/>
  <c r="A22781" i="62"/>
  <c r="A22782" i="62"/>
  <c r="A22783" i="62"/>
  <c r="A22784" i="62"/>
  <c r="A22785" i="62"/>
  <c r="A22786" i="62"/>
  <c r="A22787" i="62"/>
  <c r="A22788" i="62"/>
  <c r="A22789" i="62"/>
  <c r="A22790" i="62"/>
  <c r="A22791" i="62"/>
  <c r="A22792" i="62"/>
  <c r="A22793" i="62"/>
  <c r="A22794" i="62"/>
  <c r="A22795" i="62"/>
  <c r="A22796" i="62"/>
  <c r="A22797" i="62"/>
  <c r="A22798" i="62"/>
  <c r="A22799" i="62"/>
  <c r="A22800" i="62"/>
  <c r="A22801" i="62"/>
  <c r="A22802" i="62"/>
  <c r="A22803" i="62"/>
  <c r="A22804" i="62"/>
  <c r="A22805" i="62"/>
  <c r="A22806" i="62"/>
  <c r="A22807" i="62"/>
  <c r="A22808" i="62"/>
  <c r="A22809" i="62"/>
  <c r="A22810" i="62"/>
  <c r="A22811" i="62"/>
  <c r="A22812" i="62"/>
  <c r="A22813" i="62"/>
  <c r="A22814" i="62"/>
  <c r="A22815" i="62"/>
  <c r="A22816" i="62"/>
  <c r="A22817" i="62"/>
  <c r="A22818" i="62"/>
  <c r="A22819" i="62"/>
  <c r="A22820" i="62"/>
  <c r="A22821" i="62"/>
  <c r="A22822" i="62"/>
  <c r="A22823" i="62"/>
  <c r="A22824" i="62"/>
  <c r="A22825" i="62"/>
  <c r="A22826" i="62"/>
  <c r="A22827" i="62"/>
  <c r="A22828" i="62"/>
  <c r="A22829" i="62"/>
  <c r="A22830" i="62"/>
  <c r="A22831" i="62"/>
  <c r="A22832" i="62"/>
  <c r="A22833" i="62"/>
  <c r="A22834" i="62"/>
  <c r="A22835" i="62"/>
  <c r="A22836" i="62"/>
  <c r="A22837" i="62"/>
  <c r="A22838" i="62"/>
  <c r="A22839" i="62"/>
  <c r="A22840" i="62"/>
  <c r="A22841" i="62"/>
  <c r="A22842" i="62"/>
  <c r="A22843" i="62"/>
  <c r="A22844" i="62"/>
  <c r="A22845" i="62"/>
  <c r="A22846" i="62"/>
  <c r="A22847" i="62"/>
  <c r="A22848" i="62"/>
  <c r="A22849" i="62"/>
  <c r="A22850" i="62"/>
  <c r="A22851" i="62"/>
  <c r="A22852" i="62"/>
  <c r="A22853" i="62"/>
  <c r="A22854" i="62"/>
  <c r="A22855" i="62"/>
  <c r="A22856" i="62"/>
  <c r="A22857" i="62"/>
  <c r="A22858" i="62"/>
  <c r="A22859" i="62"/>
  <c r="A22860" i="62"/>
  <c r="A22861" i="62"/>
  <c r="A22862" i="62"/>
  <c r="A22863" i="62"/>
  <c r="A22864" i="62"/>
  <c r="A22865" i="62"/>
  <c r="A22866" i="62"/>
  <c r="A22867" i="62"/>
  <c r="A22868" i="62"/>
  <c r="A22869" i="62"/>
  <c r="A22870" i="62"/>
  <c r="A22871" i="62"/>
  <c r="A22872" i="62"/>
  <c r="A22873" i="62"/>
  <c r="A22874" i="62"/>
  <c r="A22875" i="62"/>
  <c r="A22876" i="62"/>
  <c r="A22877" i="62"/>
  <c r="A22878" i="62"/>
  <c r="A22879" i="62"/>
  <c r="A22880" i="62"/>
  <c r="A22881" i="62"/>
  <c r="A22882" i="62"/>
  <c r="A22883" i="62"/>
  <c r="A22884" i="62"/>
  <c r="A22885" i="62"/>
  <c r="A22886" i="62"/>
  <c r="A22887" i="62"/>
  <c r="A22888" i="62"/>
  <c r="A22889" i="62"/>
  <c r="A22890" i="62"/>
  <c r="A22891" i="62"/>
  <c r="A22892" i="62"/>
  <c r="A22893" i="62"/>
  <c r="A22894" i="62"/>
  <c r="A22895" i="62"/>
  <c r="A22896" i="62"/>
  <c r="A22897" i="62"/>
  <c r="A22898" i="62"/>
  <c r="A22899" i="62"/>
  <c r="A22900" i="62"/>
  <c r="A22901" i="62"/>
  <c r="A22902" i="62"/>
  <c r="A22903" i="62"/>
  <c r="A22904" i="62"/>
  <c r="A22905" i="62"/>
  <c r="A22906" i="62"/>
  <c r="A22907" i="62"/>
  <c r="A22908" i="62"/>
  <c r="A22909" i="62"/>
  <c r="A22910" i="62"/>
  <c r="A22911" i="62"/>
  <c r="A22912" i="62"/>
  <c r="A22913" i="62"/>
  <c r="A22914" i="62"/>
  <c r="A22915" i="62"/>
  <c r="A22916" i="62"/>
  <c r="A22917" i="62"/>
  <c r="A22918" i="62"/>
  <c r="A22919" i="62"/>
  <c r="A22920" i="62"/>
  <c r="A22921" i="62"/>
  <c r="A22922" i="62"/>
  <c r="A22923" i="62"/>
  <c r="A22924" i="62"/>
  <c r="A22925" i="62"/>
  <c r="A22926" i="62"/>
  <c r="A22927" i="62"/>
  <c r="A22928" i="62"/>
  <c r="A22929" i="62"/>
  <c r="A22930" i="62"/>
  <c r="A22931" i="62"/>
  <c r="A22932" i="62"/>
  <c r="A22933" i="62"/>
  <c r="A22934" i="62"/>
  <c r="A22935" i="62"/>
  <c r="A22936" i="62"/>
  <c r="A22937" i="62"/>
  <c r="A22938" i="62"/>
  <c r="A22939" i="62"/>
  <c r="A22940" i="62"/>
  <c r="A22941" i="62"/>
  <c r="A22942" i="62"/>
  <c r="A22943" i="62"/>
  <c r="A22944" i="62"/>
  <c r="A22945" i="62"/>
  <c r="A22946" i="62"/>
  <c r="A22947" i="62"/>
  <c r="A22948" i="62"/>
  <c r="A22949" i="62"/>
  <c r="A22950" i="62"/>
  <c r="A22951" i="62"/>
  <c r="A22952" i="62"/>
  <c r="A22953" i="62"/>
  <c r="A22954" i="62"/>
  <c r="A22955" i="62"/>
  <c r="A22956" i="62"/>
  <c r="A22957" i="62"/>
  <c r="A22958" i="62"/>
  <c r="A22959" i="62"/>
  <c r="A22960" i="62"/>
  <c r="A22961" i="62"/>
  <c r="A22962" i="62"/>
  <c r="A22963" i="62"/>
  <c r="A22964" i="62"/>
  <c r="A22965" i="62"/>
  <c r="A22966" i="62"/>
  <c r="A22967" i="62"/>
  <c r="A22968" i="62"/>
  <c r="A22969" i="62"/>
  <c r="A22970" i="62"/>
  <c r="A22971" i="62"/>
  <c r="A22972" i="62"/>
  <c r="A22973" i="62"/>
  <c r="A22974" i="62"/>
  <c r="A22975" i="62"/>
  <c r="A22976" i="62"/>
  <c r="A22977" i="62"/>
  <c r="A22978" i="62"/>
  <c r="A22979" i="62"/>
  <c r="A22980" i="62"/>
  <c r="A22981" i="62"/>
  <c r="A22982" i="62"/>
  <c r="A22983" i="62"/>
  <c r="A22984" i="62"/>
  <c r="A22985" i="62"/>
  <c r="A22986" i="62"/>
  <c r="A22987" i="62"/>
  <c r="A22988" i="62"/>
  <c r="A22989" i="62"/>
  <c r="A22990" i="62"/>
  <c r="A22991" i="62"/>
  <c r="A22992" i="62"/>
  <c r="A22993" i="62"/>
  <c r="A22994" i="62"/>
  <c r="A22995" i="62"/>
  <c r="A22996" i="62"/>
  <c r="A22770" i="62"/>
  <c r="A22544" i="62"/>
  <c r="A22545" i="62"/>
  <c r="A22546" i="62"/>
  <c r="A22547" i="62"/>
  <c r="A22548" i="62"/>
  <c r="A22549" i="62"/>
  <c r="A22550" i="62"/>
  <c r="A22551" i="62"/>
  <c r="A22552" i="62"/>
  <c r="A22553" i="62"/>
  <c r="A22554" i="62"/>
  <c r="A22555" i="62"/>
  <c r="A22556" i="62"/>
  <c r="A22557" i="62"/>
  <c r="A22558" i="62"/>
  <c r="A22559" i="62"/>
  <c r="A22560" i="62"/>
  <c r="A22561" i="62"/>
  <c r="A22562" i="62"/>
  <c r="A22563" i="62"/>
  <c r="A22564" i="62"/>
  <c r="A22565" i="62"/>
  <c r="A22566" i="62"/>
  <c r="A22567" i="62"/>
  <c r="A22568" i="62"/>
  <c r="A22569" i="62"/>
  <c r="A22570" i="62"/>
  <c r="A22571" i="62"/>
  <c r="A22572" i="62"/>
  <c r="A22573" i="62"/>
  <c r="A22574" i="62"/>
  <c r="A22575" i="62"/>
  <c r="A22576" i="62"/>
  <c r="A22577" i="62"/>
  <c r="A22578" i="62"/>
  <c r="A22579" i="62"/>
  <c r="A22580" i="62"/>
  <c r="A22581" i="62"/>
  <c r="A22582" i="62"/>
  <c r="A22583" i="62"/>
  <c r="A22584" i="62"/>
  <c r="A22585" i="62"/>
  <c r="A22586" i="62"/>
  <c r="A22587" i="62"/>
  <c r="A22588" i="62"/>
  <c r="A22589" i="62"/>
  <c r="A22590" i="62"/>
  <c r="A22591" i="62"/>
  <c r="A22592" i="62"/>
  <c r="A22593" i="62"/>
  <c r="A22594" i="62"/>
  <c r="A22595" i="62"/>
  <c r="A22596" i="62"/>
  <c r="A22597" i="62"/>
  <c r="A22598" i="62"/>
  <c r="A22599" i="62"/>
  <c r="A22600" i="62"/>
  <c r="A22601" i="62"/>
  <c r="A22602" i="62"/>
  <c r="A22603" i="62"/>
  <c r="A22604" i="62"/>
  <c r="A22605" i="62"/>
  <c r="A22606" i="62"/>
  <c r="A22607" i="62"/>
  <c r="A22608" i="62"/>
  <c r="A22609" i="62"/>
  <c r="A22610" i="62"/>
  <c r="A22611" i="62"/>
  <c r="A22612" i="62"/>
  <c r="A22613" i="62"/>
  <c r="A22614" i="62"/>
  <c r="A22615" i="62"/>
  <c r="A22616" i="62"/>
  <c r="A22617" i="62"/>
  <c r="A22618" i="62"/>
  <c r="A22619" i="62"/>
  <c r="A22620" i="62"/>
  <c r="A22621" i="62"/>
  <c r="A22622" i="62"/>
  <c r="A22623" i="62"/>
  <c r="A22624" i="62"/>
  <c r="A22625" i="62"/>
  <c r="A22626" i="62"/>
  <c r="A22627" i="62"/>
  <c r="A22628" i="62"/>
  <c r="A22629" i="62"/>
  <c r="A22630" i="62"/>
  <c r="A22631" i="62"/>
  <c r="A22632" i="62"/>
  <c r="A22633" i="62"/>
  <c r="A22634" i="62"/>
  <c r="A22635" i="62"/>
  <c r="A22636" i="62"/>
  <c r="A22637" i="62"/>
  <c r="A22638" i="62"/>
  <c r="A22639" i="62"/>
  <c r="A22640" i="62"/>
  <c r="A22641" i="62"/>
  <c r="A22642" i="62"/>
  <c r="A22643" i="62"/>
  <c r="A22644" i="62"/>
  <c r="A22645" i="62"/>
  <c r="A22646" i="62"/>
  <c r="A22647" i="62"/>
  <c r="A22648" i="62"/>
  <c r="A22649" i="62"/>
  <c r="A22650" i="62"/>
  <c r="A22651" i="62"/>
  <c r="A22652" i="62"/>
  <c r="A22653" i="62"/>
  <c r="A22654" i="62"/>
  <c r="A22655" i="62"/>
  <c r="A22656" i="62"/>
  <c r="A22657" i="62"/>
  <c r="A22658" i="62"/>
  <c r="A22659" i="62"/>
  <c r="A22660" i="62"/>
  <c r="A22661" i="62"/>
  <c r="A22662" i="62"/>
  <c r="A22663" i="62"/>
  <c r="A22664" i="62"/>
  <c r="A22665" i="62"/>
  <c r="A22666" i="62"/>
  <c r="A22667" i="62"/>
  <c r="A22668" i="62"/>
  <c r="A22669" i="62"/>
  <c r="A22670" i="62"/>
  <c r="A22671" i="62"/>
  <c r="A22672" i="62"/>
  <c r="A22673" i="62"/>
  <c r="A22674" i="62"/>
  <c r="A22675" i="62"/>
  <c r="A22676" i="62"/>
  <c r="A22677" i="62"/>
  <c r="A22678" i="62"/>
  <c r="A22679" i="62"/>
  <c r="A22680" i="62"/>
  <c r="A22681" i="62"/>
  <c r="A22682" i="62"/>
  <c r="A22683" i="62"/>
  <c r="A22684" i="62"/>
  <c r="A22685" i="62"/>
  <c r="A22686" i="62"/>
  <c r="A22687" i="62"/>
  <c r="A22688" i="62"/>
  <c r="A22689" i="62"/>
  <c r="A22690" i="62"/>
  <c r="A22691" i="62"/>
  <c r="A22692" i="62"/>
  <c r="A22693" i="62"/>
  <c r="A22694" i="62"/>
  <c r="A22695" i="62"/>
  <c r="A22696" i="62"/>
  <c r="A22697" i="62"/>
  <c r="A22698" i="62"/>
  <c r="A22699" i="62"/>
  <c r="A22700" i="62"/>
  <c r="A22701" i="62"/>
  <c r="A22702" i="62"/>
  <c r="A22703" i="62"/>
  <c r="A22704" i="62"/>
  <c r="A22705" i="62"/>
  <c r="A22706" i="62"/>
  <c r="A22707" i="62"/>
  <c r="A22708" i="62"/>
  <c r="A22709" i="62"/>
  <c r="A22710" i="62"/>
  <c r="A22711" i="62"/>
  <c r="A22712" i="62"/>
  <c r="A22713" i="62"/>
  <c r="A22714" i="62"/>
  <c r="A22715" i="62"/>
  <c r="A22716" i="62"/>
  <c r="A22717" i="62"/>
  <c r="A22718" i="62"/>
  <c r="A22719" i="62"/>
  <c r="A22720" i="62"/>
  <c r="A22721" i="62"/>
  <c r="A22722" i="62"/>
  <c r="A22723" i="62"/>
  <c r="A22724" i="62"/>
  <c r="A22725" i="62"/>
  <c r="A22726" i="62"/>
  <c r="A22727" i="62"/>
  <c r="A22728" i="62"/>
  <c r="A22729" i="62"/>
  <c r="A22730" i="62"/>
  <c r="A22731" i="62"/>
  <c r="A22732" i="62"/>
  <c r="A22733" i="62"/>
  <c r="A22734" i="62"/>
  <c r="A22735" i="62"/>
  <c r="A22736" i="62"/>
  <c r="A22737" i="62"/>
  <c r="A22738" i="62"/>
  <c r="A22739" i="62"/>
  <c r="A22740" i="62"/>
  <c r="A22741" i="62"/>
  <c r="A22742" i="62"/>
  <c r="A22743" i="62"/>
  <c r="A22744" i="62"/>
  <c r="A22745" i="62"/>
  <c r="A22746" i="62"/>
  <c r="A22747" i="62"/>
  <c r="A22748" i="62"/>
  <c r="A22749" i="62"/>
  <c r="A22750" i="62"/>
  <c r="A22751" i="62"/>
  <c r="A22752" i="62"/>
  <c r="A22753" i="62"/>
  <c r="A22754" i="62"/>
  <c r="A22755" i="62"/>
  <c r="A22756" i="62"/>
  <c r="A22757" i="62"/>
  <c r="A22758" i="62"/>
  <c r="A22759" i="62"/>
  <c r="A22760" i="62"/>
  <c r="A22761" i="62"/>
  <c r="A22762" i="62"/>
  <c r="A22763" i="62"/>
  <c r="A22764" i="62"/>
  <c r="A22765" i="62"/>
  <c r="A22766" i="62"/>
  <c r="A22767" i="62"/>
  <c r="A22768" i="62"/>
  <c r="A22769" i="62"/>
  <c r="A22543" i="62"/>
  <c r="A22542" i="62"/>
  <c r="A22317" i="62"/>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6" i="63"/>
  <c r="C65" i="63"/>
  <c r="C64" i="63"/>
  <c r="C63" i="63"/>
  <c r="C62"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1"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E67" i="63" l="1"/>
  <c r="R87" i="59"/>
  <c r="S87" i="59" s="1"/>
  <c r="T86" i="59"/>
  <c r="X27" i="55"/>
  <c r="U71" i="59"/>
  <c r="U88" i="59" s="1"/>
  <c r="B67" i="59"/>
  <c r="E66" i="63"/>
  <c r="E65" i="63"/>
  <c r="E64" i="63"/>
  <c r="E63" i="63"/>
  <c r="E62" i="63"/>
  <c r="E9" i="63"/>
  <c r="E118" i="63" s="1"/>
  <c r="M118" i="63" s="1"/>
  <c r="U118" i="63" s="1"/>
  <c r="I2" i="63"/>
  <c r="U142" i="63"/>
  <c r="E142" i="63"/>
  <c r="M142" i="63"/>
  <c r="F128" i="63"/>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G58" i="63" s="1"/>
  <c r="E59" i="63"/>
  <c r="L59" i="63" s="1"/>
  <c r="E60" i="63"/>
  <c r="I60" i="63" s="1"/>
  <c r="E61" i="63"/>
  <c r="I61"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M67" i="63" l="1"/>
  <c r="L67" i="63"/>
  <c r="K67" i="63"/>
  <c r="J67" i="63"/>
  <c r="I67" i="63"/>
  <c r="H67" i="63"/>
  <c r="G67" i="63"/>
  <c r="L48" i="59"/>
  <c r="F48" i="59"/>
  <c r="R88" i="59"/>
  <c r="S88" i="59" s="1"/>
  <c r="T87" i="59"/>
  <c r="Y27" i="55"/>
  <c r="B84" i="59"/>
  <c r="C27" i="55" s="1"/>
  <c r="U72" i="59"/>
  <c r="U89" i="59" s="1"/>
  <c r="B68" i="59"/>
  <c r="O62" i="63"/>
  <c r="N62" i="63"/>
  <c r="M62" i="63"/>
  <c r="L62" i="63"/>
  <c r="K62" i="63"/>
  <c r="J62" i="63"/>
  <c r="I62" i="63"/>
  <c r="H62" i="63"/>
  <c r="G62" i="63"/>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M9" i="63"/>
  <c r="W118" i="63" s="1"/>
  <c r="J9" i="63"/>
  <c r="O118" i="63" s="1"/>
  <c r="G9" i="63"/>
  <c r="G118" i="63" s="1"/>
  <c r="O48" i="59"/>
  <c r="N48" i="59"/>
  <c r="I48" i="59"/>
  <c r="H67" i="59" s="1"/>
  <c r="G48" i="59"/>
  <c r="F67" i="59" s="1"/>
  <c r="D48" i="59"/>
  <c r="C48" i="59"/>
  <c r="L69" i="63"/>
  <c r="L70" i="63"/>
  <c r="L57" i="63"/>
  <c r="L43" i="63"/>
  <c r="L54" i="63"/>
  <c r="L82" i="63"/>
  <c r="L45" i="63"/>
  <c r="L56" i="63"/>
  <c r="L77" i="63"/>
  <c r="L78" i="63"/>
  <c r="L71" i="63"/>
  <c r="L58" i="63"/>
  <c r="L84" i="63"/>
  <c r="L90" i="63"/>
  <c r="L53" i="63"/>
  <c r="L39" i="63"/>
  <c r="L85" i="63"/>
  <c r="L86" i="63"/>
  <c r="L79" i="63"/>
  <c r="L72" i="63"/>
  <c r="L40" i="63"/>
  <c r="L98" i="63"/>
  <c r="L61" i="63"/>
  <c r="L68" i="63"/>
  <c r="L93" i="63"/>
  <c r="L94" i="63"/>
  <c r="L87" i="63"/>
  <c r="L73" i="63"/>
  <c r="L37" i="63"/>
  <c r="L106" i="63"/>
  <c r="L75" i="63"/>
  <c r="L92" i="63"/>
  <c r="L101" i="63"/>
  <c r="L102" i="63"/>
  <c r="L95" i="63"/>
  <c r="L88" i="63"/>
  <c r="L81" i="63"/>
  <c r="L44" i="63"/>
  <c r="L46" i="63"/>
  <c r="L83" i="63"/>
  <c r="L32" i="63"/>
  <c r="L33" i="63"/>
  <c r="L103" i="63"/>
  <c r="L96" i="63"/>
  <c r="L89" i="63"/>
  <c r="L52" i="63"/>
  <c r="L76" i="63"/>
  <c r="L91" i="63"/>
  <c r="L47" i="63"/>
  <c r="L41" i="63"/>
  <c r="L35" i="63"/>
  <c r="L104" i="63"/>
  <c r="L97" i="63"/>
  <c r="L60" i="63"/>
  <c r="L100" i="63"/>
  <c r="L99" i="63"/>
  <c r="L55" i="63"/>
  <c r="L48" i="63"/>
  <c r="L49" i="63"/>
  <c r="L42"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4" i="63"/>
  <c r="K49" i="63"/>
  <c r="K46" i="63"/>
  <c r="K59" i="63"/>
  <c r="K54" i="63"/>
  <c r="K51" i="63"/>
  <c r="K56" i="63"/>
  <c r="K61" i="63"/>
  <c r="K43" i="63"/>
  <c r="K48" i="63"/>
  <c r="K53" i="63"/>
  <c r="K58" i="63"/>
  <c r="K41" i="63"/>
  <c r="K45" i="63"/>
  <c r="K50" i="63"/>
  <c r="K55" i="63"/>
  <c r="K60" i="63"/>
  <c r="K42" i="63"/>
  <c r="K47" i="63"/>
  <c r="K52" i="63"/>
  <c r="K57"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1" i="63"/>
  <c r="M36" i="63"/>
  <c r="M95" i="63"/>
  <c r="M26" i="63"/>
  <c r="M60" i="63"/>
  <c r="M51" i="63"/>
  <c r="M55" i="63"/>
  <c r="M43" i="63"/>
  <c r="M76" i="63"/>
  <c r="M6" i="63"/>
  <c r="W115" i="63" s="1"/>
  <c r="M86" i="63"/>
  <c r="M17" i="63"/>
  <c r="W126" i="63" s="1"/>
  <c r="M53" i="63"/>
  <c r="M96" i="63"/>
  <c r="M87" i="63"/>
  <c r="M18" i="63"/>
  <c r="M52" i="63"/>
  <c r="M20" i="63"/>
  <c r="M47" i="63"/>
  <c r="M12" i="63"/>
  <c r="W121" i="63" s="1"/>
  <c r="M68" i="63"/>
  <c r="M89" i="63"/>
  <c r="M78" i="63"/>
  <c r="M8" i="63"/>
  <c r="W117" i="63" s="1"/>
  <c r="M45" i="63"/>
  <c r="M72" i="63"/>
  <c r="M79" i="63"/>
  <c r="M10" i="63"/>
  <c r="W119" i="63" s="1"/>
  <c r="M44" i="63"/>
  <c r="M35" i="63"/>
  <c r="M40" i="63"/>
  <c r="M104" i="63"/>
  <c r="M54" i="63"/>
  <c r="M59" i="63"/>
  <c r="M70" i="63"/>
  <c r="M107" i="63"/>
  <c r="M38" i="63"/>
  <c r="M58" i="63"/>
  <c r="M71" i="63"/>
  <c r="M106" i="63"/>
  <c r="M37" i="63"/>
  <c r="M101" i="63"/>
  <c r="M32" i="63"/>
  <c r="M80" i="63"/>
  <c r="M46" i="63"/>
  <c r="M28" i="63"/>
  <c r="M56" i="63"/>
  <c r="M99" i="63"/>
  <c r="M30" i="63"/>
  <c r="M42" i="63"/>
  <c r="M57" i="63"/>
  <c r="M29" i="63"/>
  <c r="M24" i="63"/>
  <c r="M50" i="63"/>
  <c r="M39" i="63"/>
  <c r="M88" i="63"/>
  <c r="M48" i="63"/>
  <c r="M91" i="63"/>
  <c r="M22" i="63"/>
  <c r="M19" i="63"/>
  <c r="M49" i="63"/>
  <c r="M90" i="63"/>
  <c r="M21" i="63"/>
  <c r="M85" i="63"/>
  <c r="M16" i="63"/>
  <c r="W125" i="63" s="1"/>
  <c r="M100" i="63"/>
  <c r="M31" i="63"/>
  <c r="M27" i="63"/>
  <c r="M41" i="63"/>
  <c r="M83" i="63"/>
  <c r="M14" i="63"/>
  <c r="W123" i="63" s="1"/>
  <c r="M105" i="63"/>
  <c r="M11" i="63"/>
  <c r="W120" i="63" s="1"/>
  <c r="M82" i="63"/>
  <c r="M13" i="63"/>
  <c r="W122" i="63" s="1"/>
  <c r="M77" i="63"/>
  <c r="M7" i="63"/>
  <c r="W116" i="63" s="1"/>
  <c r="M92" i="63"/>
  <c r="M23" i="63"/>
  <c r="M102" i="63"/>
  <c r="M33" i="63"/>
  <c r="M75" i="63"/>
  <c r="M5" i="63"/>
  <c r="W114" i="63" s="1"/>
  <c r="J29" i="63"/>
  <c r="M4" i="63"/>
  <c r="W113" i="63" s="1"/>
  <c r="W128" i="63" s="1"/>
  <c r="J59" i="63"/>
  <c r="J18" i="63"/>
  <c r="J44" i="63"/>
  <c r="J80" i="63"/>
  <c r="J85" i="63"/>
  <c r="J16" i="63"/>
  <c r="O125" i="63" s="1"/>
  <c r="J19" i="63"/>
  <c r="J68" i="63"/>
  <c r="J81" i="63"/>
  <c r="J94" i="63"/>
  <c r="J25" i="63"/>
  <c r="J61" i="63"/>
  <c r="J28" i="63"/>
  <c r="J37" i="63"/>
  <c r="J42" i="63"/>
  <c r="J77" i="63"/>
  <c r="J7" i="63"/>
  <c r="O116" i="63" s="1"/>
  <c r="J95" i="63"/>
  <c r="J54" i="63"/>
  <c r="J36" i="63"/>
  <c r="J86" i="63"/>
  <c r="J17" i="63"/>
  <c r="O126" i="63" s="1"/>
  <c r="J53" i="63"/>
  <c r="J96" i="63"/>
  <c r="J98" i="63"/>
  <c r="J27" i="63"/>
  <c r="J105" i="63"/>
  <c r="J57" i="63"/>
  <c r="J104" i="63"/>
  <c r="J78" i="63"/>
  <c r="J8" i="63"/>
  <c r="O117" i="63" s="1"/>
  <c r="J45" i="63"/>
  <c r="J58" i="63"/>
  <c r="J90" i="63"/>
  <c r="J21" i="63"/>
  <c r="J103" i="63"/>
  <c r="J55" i="63"/>
  <c r="J73" i="63"/>
  <c r="J34" i="63"/>
  <c r="J39" i="63"/>
  <c r="J72" i="63"/>
  <c r="J107" i="63"/>
  <c r="J38" i="63"/>
  <c r="J11" i="63"/>
  <c r="O120" i="63" s="1"/>
  <c r="J82" i="63"/>
  <c r="J13" i="63"/>
  <c r="O122" i="63" s="1"/>
  <c r="J71" i="63"/>
  <c r="J47" i="63"/>
  <c r="J43" i="63"/>
  <c r="J100" i="63"/>
  <c r="J31" i="63"/>
  <c r="J35" i="63"/>
  <c r="J56" i="63"/>
  <c r="J99" i="63"/>
  <c r="J30" i="63"/>
  <c r="J87" i="63"/>
  <c r="J74" i="63"/>
  <c r="J89" i="63"/>
  <c r="J26" i="63"/>
  <c r="J40" i="63"/>
  <c r="J12" i="63"/>
  <c r="O121" i="63" s="1"/>
  <c r="J92" i="63"/>
  <c r="J23" i="63"/>
  <c r="J79" i="63"/>
  <c r="J48" i="63"/>
  <c r="J91" i="63"/>
  <c r="J22" i="63"/>
  <c r="J49" i="63"/>
  <c r="J60" i="63"/>
  <c r="J51" i="63"/>
  <c r="J101" i="63"/>
  <c r="J32" i="63"/>
  <c r="J88" i="63"/>
  <c r="J84" i="63"/>
  <c r="J15" i="63"/>
  <c r="O124" i="63" s="1"/>
  <c r="J10" i="63"/>
  <c r="O119" i="63" s="1"/>
  <c r="J41" i="63"/>
  <c r="J83" i="63"/>
  <c r="J14" i="63"/>
  <c r="O123" i="63" s="1"/>
  <c r="J97" i="63"/>
  <c r="J52" i="63"/>
  <c r="J20" i="63"/>
  <c r="J93" i="63"/>
  <c r="J24" i="63"/>
  <c r="J50" i="63"/>
  <c r="J76" i="63"/>
  <c r="J6" i="63"/>
  <c r="J102" i="63"/>
  <c r="J33" i="63"/>
  <c r="J75" i="63"/>
  <c r="J5" i="63"/>
  <c r="O114" i="63" s="1"/>
  <c r="I31" i="63"/>
  <c r="H31" i="63"/>
  <c r="H30" i="63"/>
  <c r="G82" i="63"/>
  <c r="G57" i="63"/>
  <c r="G61" i="63"/>
  <c r="G42" i="63"/>
  <c r="G48" i="63"/>
  <c r="G40" i="63"/>
  <c r="G100" i="63"/>
  <c r="G52" i="63"/>
  <c r="G53" i="63"/>
  <c r="G41" i="63"/>
  <c r="G98" i="63"/>
  <c r="G92" i="63"/>
  <c r="G89" i="63"/>
  <c r="G45" i="63"/>
  <c r="G106" i="63"/>
  <c r="G93" i="63"/>
  <c r="G74" i="63"/>
  <c r="G84" i="63"/>
  <c r="G51" i="63"/>
  <c r="G107" i="63"/>
  <c r="G90" i="63"/>
  <c r="G60" i="63"/>
  <c r="G105" i="63"/>
  <c r="G76" i="63"/>
  <c r="G99" i="63"/>
  <c r="G44" i="63"/>
  <c r="G86" i="63"/>
  <c r="G73" i="63"/>
  <c r="G68" i="63"/>
  <c r="G50" i="63"/>
  <c r="G81" i="63"/>
  <c r="G59" i="63"/>
  <c r="G69" i="63"/>
  <c r="G96" i="63"/>
  <c r="G54" i="63"/>
  <c r="G87" i="63"/>
  <c r="G83" i="63"/>
  <c r="G43" i="63"/>
  <c r="G70" i="63"/>
  <c r="G104" i="63"/>
  <c r="G46" i="63"/>
  <c r="G71" i="63"/>
  <c r="G75" i="63"/>
  <c r="G80" i="63"/>
  <c r="G56" i="63"/>
  <c r="G47"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3" i="63"/>
  <c r="L26" i="63"/>
  <c r="H74" i="63"/>
  <c r="O107" i="63"/>
  <c r="K26" i="63"/>
  <c r="O16" i="63"/>
  <c r="Y125" i="63" s="1"/>
  <c r="O44" i="63"/>
  <c r="H54" i="63"/>
  <c r="N25" i="63"/>
  <c r="K16" i="63"/>
  <c r="P125" i="63" s="1"/>
  <c r="O54" i="63"/>
  <c r="O39" i="63"/>
  <c r="O36" i="63"/>
  <c r="K18" i="63"/>
  <c r="H107" i="63"/>
  <c r="H102" i="63"/>
  <c r="O84" i="63"/>
  <c r="H77" i="63"/>
  <c r="L23" i="63"/>
  <c r="H84" i="63"/>
  <c r="N56" i="63"/>
  <c r="O53" i="63"/>
  <c r="H87" i="63"/>
  <c r="O83" i="63"/>
  <c r="H76" i="63"/>
  <c r="H70" i="63"/>
  <c r="O106" i="63"/>
  <c r="N96" i="63"/>
  <c r="N106" i="63"/>
  <c r="N107" i="63"/>
  <c r="H83" i="63"/>
  <c r="N75" i="63"/>
  <c r="N57" i="63"/>
  <c r="O37" i="63"/>
  <c r="N26" i="63"/>
  <c r="N20" i="63"/>
  <c r="L17" i="63"/>
  <c r="Q126" i="63" s="1"/>
  <c r="H16" i="63"/>
  <c r="K20" i="63"/>
  <c r="H17" i="63"/>
  <c r="H126" i="63" s="1"/>
  <c r="O90" i="63"/>
  <c r="N59" i="63"/>
  <c r="N105" i="63"/>
  <c r="O100" i="63"/>
  <c r="O93" i="63"/>
  <c r="O75" i="63"/>
  <c r="O56" i="63"/>
  <c r="H52" i="63"/>
  <c r="O18" i="63"/>
  <c r="H103" i="63"/>
  <c r="H93" i="63"/>
  <c r="H68" i="63"/>
  <c r="N53" i="63"/>
  <c r="O52" i="63"/>
  <c r="O51" i="63"/>
  <c r="O45" i="63"/>
  <c r="H44" i="63"/>
  <c r="H43" i="63"/>
  <c r="O27" i="63"/>
  <c r="L25" i="63"/>
  <c r="N52" i="63"/>
  <c r="N51" i="63"/>
  <c r="O92" i="63"/>
  <c r="O61" i="63"/>
  <c r="H36" i="63"/>
  <c r="L27" i="63"/>
  <c r="K27" i="63"/>
  <c r="O46" i="63"/>
  <c r="N35" i="63"/>
  <c r="O74" i="63"/>
  <c r="H53" i="63"/>
  <c r="H27" i="63"/>
  <c r="N99" i="63"/>
  <c r="N78" i="63"/>
  <c r="O76" i="63"/>
  <c r="O19" i="63"/>
  <c r="H92" i="63"/>
  <c r="N74" i="63"/>
  <c r="H61" i="63"/>
  <c r="O57" i="63"/>
  <c r="H48" i="63"/>
  <c r="N40" i="63"/>
  <c r="O33" i="63"/>
  <c r="H32" i="63"/>
  <c r="O23" i="63"/>
  <c r="K19" i="63"/>
  <c r="K17" i="63"/>
  <c r="P126" i="63" s="1"/>
  <c r="N82" i="63"/>
  <c r="O69" i="63"/>
  <c r="H100" i="63"/>
  <c r="H91" i="63"/>
  <c r="O85" i="63"/>
  <c r="H78" i="63"/>
  <c r="H71" i="63"/>
  <c r="H60" i="63"/>
  <c r="N44" i="63"/>
  <c r="O43" i="63"/>
  <c r="N27" i="63"/>
  <c r="O26" i="63"/>
  <c r="O25" i="63"/>
  <c r="N23" i="63"/>
  <c r="O20" i="63"/>
  <c r="H19" i="63"/>
  <c r="H18" i="63"/>
  <c r="K15" i="63"/>
  <c r="P124" i="63" s="1"/>
  <c r="N61" i="63"/>
  <c r="O60" i="63"/>
  <c r="O28" i="63"/>
  <c r="N100" i="63"/>
  <c r="O99" i="63"/>
  <c r="N91" i="63"/>
  <c r="N90" i="63"/>
  <c r="H85" i="63"/>
  <c r="H82" i="63"/>
  <c r="H75" i="63"/>
  <c r="O68" i="63"/>
  <c r="N60" i="63"/>
  <c r="H57" i="63"/>
  <c r="O48" i="63"/>
  <c r="H35" i="63"/>
  <c r="O32" i="63"/>
  <c r="L28" i="63"/>
  <c r="H23" i="63"/>
  <c r="N18" i="63"/>
  <c r="O17" i="63"/>
  <c r="Y126" i="63" s="1"/>
  <c r="O71" i="63"/>
  <c r="N48" i="63"/>
  <c r="H45" i="63"/>
  <c r="N32" i="63"/>
  <c r="O30" i="63"/>
  <c r="K28" i="63"/>
  <c r="O24" i="63"/>
  <c r="N17" i="63"/>
  <c r="X126" i="63" s="1"/>
  <c r="N92" i="63"/>
  <c r="O91" i="63"/>
  <c r="N97" i="63"/>
  <c r="N83" i="63"/>
  <c r="O82" i="63"/>
  <c r="N81" i="63"/>
  <c r="O78" i="63"/>
  <c r="N71" i="63"/>
  <c r="N36" i="63"/>
  <c r="O35" i="63"/>
  <c r="O34" i="63"/>
  <c r="N30" i="63"/>
  <c r="H28" i="63"/>
  <c r="L18" i="63"/>
  <c r="I79" i="63"/>
  <c r="I58" i="63"/>
  <c r="H58" i="63"/>
  <c r="N58" i="63"/>
  <c r="I41" i="63"/>
  <c r="H41" i="63"/>
  <c r="N41" i="63"/>
  <c r="I101" i="63"/>
  <c r="N101" i="63"/>
  <c r="I73" i="63"/>
  <c r="H73" i="63"/>
  <c r="I55" i="63"/>
  <c r="N55" i="63"/>
  <c r="H55" i="63"/>
  <c r="I70" i="63"/>
  <c r="I50" i="63"/>
  <c r="H50" i="63"/>
  <c r="N50" i="63"/>
  <c r="I47" i="63"/>
  <c r="I34" i="63"/>
  <c r="H34" i="63"/>
  <c r="N34" i="63"/>
  <c r="I80" i="63"/>
  <c r="H80" i="63"/>
  <c r="I103" i="63"/>
  <c r="O101" i="63"/>
  <c r="O98" i="63"/>
  <c r="O86" i="63"/>
  <c r="O79" i="63"/>
  <c r="I59" i="63"/>
  <c r="H59" i="63"/>
  <c r="N49" i="63"/>
  <c r="I42" i="63"/>
  <c r="H42" i="63"/>
  <c r="I39" i="63"/>
  <c r="N39" i="63"/>
  <c r="I21" i="63"/>
  <c r="K21" i="63"/>
  <c r="L21" i="63"/>
  <c r="N21" i="63"/>
  <c r="H21" i="63"/>
  <c r="N94" i="63"/>
  <c r="I102" i="63"/>
  <c r="N98" i="63"/>
  <c r="I81" i="63"/>
  <c r="H81" i="63"/>
  <c r="N79" i="63"/>
  <c r="O58" i="63"/>
  <c r="I56" i="63"/>
  <c r="I105" i="63"/>
  <c r="H105" i="63"/>
  <c r="O103" i="63"/>
  <c r="N102" i="63"/>
  <c r="O95" i="63"/>
  <c r="O80" i="63"/>
  <c r="O73" i="63"/>
  <c r="O55" i="63"/>
  <c r="I51" i="63"/>
  <c r="H51" i="63"/>
  <c r="H89" i="63"/>
  <c r="N86" i="63"/>
  <c r="I106" i="63"/>
  <c r="H106" i="63"/>
  <c r="N103" i="63"/>
  <c r="E154" i="63"/>
  <c r="P153" i="63" s="1"/>
  <c r="H90" i="63"/>
  <c r="N87" i="63"/>
  <c r="I85" i="63"/>
  <c r="N85" i="63"/>
  <c r="N80" i="63"/>
  <c r="H79" i="63"/>
  <c r="I78" i="63"/>
  <c r="N73" i="63"/>
  <c r="I72" i="63"/>
  <c r="H72" i="63"/>
  <c r="N72" i="63"/>
  <c r="O70" i="63"/>
  <c r="O50" i="63"/>
  <c r="O49" i="63"/>
  <c r="O47" i="63"/>
  <c r="I98" i="63"/>
  <c r="H98" i="63"/>
  <c r="I86" i="63"/>
  <c r="O94" i="63"/>
  <c r="I104" i="63"/>
  <c r="O102" i="63"/>
  <c r="I77" i="63"/>
  <c r="N77" i="63"/>
  <c r="H97" i="63"/>
  <c r="N95" i="63"/>
  <c r="H94" i="63"/>
  <c r="O105" i="63"/>
  <c r="N104" i="63"/>
  <c r="H101" i="63"/>
  <c r="O96" i="63"/>
  <c r="O89" i="63"/>
  <c r="O81" i="63"/>
  <c r="O77" i="63"/>
  <c r="N70" i="63"/>
  <c r="I69" i="63"/>
  <c r="N69" i="63"/>
  <c r="H69" i="63"/>
  <c r="O59" i="63"/>
  <c r="N47" i="63"/>
  <c r="I46" i="63"/>
  <c r="N46" i="63"/>
  <c r="H46" i="63"/>
  <c r="O42" i="63"/>
  <c r="N31" i="63"/>
  <c r="H38" i="63"/>
  <c r="N33" i="63"/>
  <c r="N24" i="63"/>
  <c r="H20" i="63"/>
  <c r="K25" i="63"/>
  <c r="L24" i="63"/>
  <c r="N38" i="63"/>
  <c r="L14" i="63"/>
  <c r="Q123" i="63" s="1"/>
  <c r="K24" i="63"/>
  <c r="N93" i="63"/>
  <c r="N84" i="63"/>
  <c r="N76" i="63"/>
  <c r="N68" i="63"/>
  <c r="N54" i="63"/>
  <c r="N45" i="63"/>
  <c r="N37" i="63"/>
  <c r="N28" i="63"/>
  <c r="H25" i="63"/>
  <c r="K23" i="63"/>
  <c r="N19" i="63"/>
  <c r="K14" i="63"/>
  <c r="P123" i="63" s="1"/>
  <c r="H33" i="63"/>
  <c r="H24" i="63"/>
  <c r="L20" i="63"/>
  <c r="H15" i="63"/>
  <c r="H124" i="63" s="1"/>
  <c r="L19" i="63"/>
  <c r="H14" i="63"/>
  <c r="H123" i="63" s="1"/>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49" i="63"/>
  <c r="H49"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G156" i="63" s="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21" i="63"/>
  <c r="H121" i="63"/>
  <c r="H156" i="63"/>
  <c r="AH46" i="59"/>
  <c r="A51" i="59"/>
  <c r="F51" i="59" s="1"/>
  <c r="E48" i="59"/>
  <c r="J48" i="59"/>
  <c r="T153" i="63" l="1"/>
  <c r="E67" i="59"/>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AJ69" i="59" l="1"/>
  <c r="AA86" i="59" s="1"/>
  <c r="W33" i="55" s="1"/>
  <c r="V87" i="59"/>
  <c r="X28" i="55" s="1"/>
  <c r="G29" i="55"/>
  <c r="W88" i="59"/>
  <c r="Y29" i="55" s="1"/>
  <c r="D89" i="59"/>
  <c r="H29" i="55" s="1"/>
  <c r="X88" i="59"/>
  <c r="Y30" i="55" s="1"/>
  <c r="H55" i="59"/>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AK69" i="59" l="1"/>
  <c r="AB86" i="59" s="1"/>
  <c r="V34" i="55" s="1"/>
  <c r="C89" i="59"/>
  <c r="H28" i="55" s="1"/>
  <c r="V88" i="59"/>
  <c r="Y28" i="55" s="1"/>
  <c r="AF72" i="59"/>
  <c r="X89" i="59" s="1"/>
  <c r="Z30" i="55" s="1"/>
  <c r="D90" i="59"/>
  <c r="C90" i="59" s="1"/>
  <c r="I28" i="55" s="1"/>
  <c r="H56" i="59"/>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<sst xmlns="http://schemas.openxmlformats.org/spreadsheetml/2006/main" count="95634" uniqueCount="46827">
  <si>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</si>
  <si>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</si>
  <si>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</si>
  <si>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</si>
  <si>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</si>
  <si>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</si>
  <si>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</si>
  <si>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</si>
  <si>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</si>
  <si>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</si>
  <si>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</si>
  <si>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</si>
  <si>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</si>
  <si>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</si>
  <si>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</si>
  <si>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</si>
  <si>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</si>
  <si>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</si>
  <si>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</si>
  <si>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</si>
  <si>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</si>
  <si>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</si>
  <si>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</si>
  <si>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</si>
  <si>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</si>
  <si>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</si>
  <si>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</si>
  <si>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</si>
  <si>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</si>
  <si>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</si>
  <si>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</si>
  <si>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</si>
  <si>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</si>
  <si>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</si>
  <si>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</si>
  <si>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</si>
  <si>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</si>
  <si>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</si>
  <si>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</si>
  <si>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</si>
  <si>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</si>
  <si>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</si>
  <si>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</si>
  <si>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</si>
  <si>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</si>
  <si>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</si>
  <si>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</si>
  <si>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</si>
  <si>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</si>
  <si>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</si>
  <si>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</si>
  <si>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</si>
  <si>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</si>
  <si>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</si>
  <si>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</si>
  <si>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</si>
  <si>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</si>
  <si>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</si>
  <si>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</si>
  <si>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</si>
  <si>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</si>
  <si>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</si>
  <si>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</si>
  <si>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</si>
  <si>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</si>
  <si>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</si>
  <si>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</si>
  <si>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</si>
  <si>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</si>
  <si>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</si>
  <si>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</si>
  <si>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</si>
  <si>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</si>
  <si>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</si>
  <si>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</si>
  <si>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</si>
  <si>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</si>
  <si>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</si>
  <si>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</si>
  <si>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</si>
  <si>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</si>
  <si>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</si>
  <si>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</si>
  <si>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</si>
  <si>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</si>
  <si>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</si>
  <si>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</si>
  <si>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</si>
  <si>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</si>
  <si>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</si>
  <si>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</si>
  <si>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</si>
  <si>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</si>
  <si>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</si>
  <si>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</si>
  <si>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</si>
  <si>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</si>
  <si>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</si>
  <si>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</si>
  <si>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</si>
  <si>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</si>
  <si>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</si>
  <si>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</si>
  <si>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</si>
  <si>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</si>
  <si>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</si>
  <si>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</si>
  <si>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</si>
  <si>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</si>
  <si>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</si>
  <si>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</si>
  <si>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</si>
  <si>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</si>
  <si>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</si>
  <si>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</si>
  <si>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</si>
  <si>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</si>
  <si>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</si>
  <si>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</si>
  <si>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</si>
  <si>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</si>
  <si>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</si>
  <si>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</si>
  <si>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</si>
  <si>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</si>
  <si>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</si>
  <si>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</si>
  <si>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</si>
  <si>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</si>
  <si>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</si>
  <si>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</si>
  <si>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</si>
  <si>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</si>
  <si>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</si>
  <si>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</si>
  <si>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</si>
  <si>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</si>
  <si>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</si>
  <si>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</si>
  <si>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</si>
  <si>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</si>
  <si>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</si>
  <si>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</si>
  <si>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</si>
  <si>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</si>
  <si>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</si>
  <si>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</si>
  <si>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</si>
  <si>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</si>
  <si>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</si>
  <si>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</si>
  <si>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</si>
  <si>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</si>
  <si>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</si>
  <si>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</si>
  <si>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</si>
  <si>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</si>
  <si>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</si>
  <si>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</si>
  <si>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</si>
  <si>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</si>
  <si>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</si>
  <si>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</si>
  <si>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</si>
  <si>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</si>
  <si>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</si>
  <si>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</si>
  <si>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</si>
  <si>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</si>
  <si>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</si>
  <si>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</si>
  <si>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</si>
  <si>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</si>
  <si>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</si>
  <si>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</si>
  <si>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</si>
  <si>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</si>
  <si>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</si>
  <si>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</si>
  <si>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</si>
  <si>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</si>
  <si>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</si>
  <si>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</si>
  <si>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</si>
  <si>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</si>
  <si>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</si>
  <si>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</si>
  <si>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</si>
  <si>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</si>
  <si>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</si>
  <si>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</si>
  <si>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</si>
  <si>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</si>
  <si>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</si>
  <si>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</si>
  <si>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</si>
  <si>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</si>
  <si>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</si>
  <si>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</si>
  <si>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</si>
  <si>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</si>
  <si>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</si>
  <si>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</si>
  <si>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</si>
  <si>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</si>
  <si>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</si>
  <si>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</si>
  <si>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</si>
  <si>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</si>
  <si>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</si>
  <si>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</si>
  <si>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</si>
  <si>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</si>
  <si>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</si>
  <si>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</si>
  <si>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</si>
  <si>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</si>
  <si>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</si>
  <si>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</si>
  <si>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</si>
  <si>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</si>
  <si>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</si>
  <si>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</si>
  <si>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</si>
  <si>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</si>
  <si>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</si>
  <si>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</si>
  <si>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</si>
  <si>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</si>
  <si>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</si>
  <si>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</si>
  <si>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</si>
  <si>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</si>
  <si>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</si>
  <si>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</si>
  <si>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</si>
  <si>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</si>
  <si>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</si>
  <si>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</si>
  <si>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</si>
  <si>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</si>
  <si>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</si>
  <si>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</si>
  <si>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</si>
  <si>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</si>
  <si>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</si>
  <si>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</si>
  <si>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</si>
  <si>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</si>
  <si>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</si>
  <si>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</si>
  <si>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</si>
  <si>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</si>
  <si>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</si>
  <si>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</si>
  <si>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</si>
  <si>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</si>
  <si>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</si>
  <si>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</si>
  <si>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</si>
  <si>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</si>
  <si>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</si>
  <si>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</si>
  <si>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</si>
  <si>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</si>
  <si>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</si>
  <si>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</si>
  <si>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</si>
  <si>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</si>
  <si>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</si>
  <si>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</si>
  <si>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</si>
  <si>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</si>
  <si>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</si>
  <si>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</si>
  <si>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</si>
  <si>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</si>
  <si>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</si>
  <si>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</si>
  <si>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</si>
  <si>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</si>
  <si>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</si>
  <si>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</si>
  <si>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</si>
  <si>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</si>
  <si>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</si>
  <si>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</si>
  <si>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</si>
  <si>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</si>
  <si>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</si>
  <si>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</si>
  <si>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</si>
  <si>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</si>
  <si>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</si>
  <si>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</si>
  <si>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</si>
  <si>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</si>
  <si>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</si>
  <si>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</si>
  <si>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</si>
  <si>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</si>
  <si>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</si>
  <si>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</si>
  <si>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</si>
  <si>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</si>
  <si>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</si>
  <si>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</si>
  <si>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</si>
  <si>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</si>
  <si>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</si>
  <si>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</si>
  <si>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</si>
  <si>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</si>
  <si>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</si>
  <si>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</si>
  <si>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</si>
  <si>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</si>
  <si>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</si>
  <si>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</si>
  <si>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</si>
  <si>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</si>
  <si>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</si>
  <si>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</si>
  <si>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</si>
  <si>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</si>
  <si>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</si>
  <si>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</si>
  <si>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</si>
  <si>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</si>
  <si>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</si>
  <si>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</si>
  <si>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</si>
  <si>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</si>
  <si>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</si>
  <si>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</si>
  <si>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</si>
  <si>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</si>
  <si>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</si>
  <si>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</si>
  <si>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</si>
  <si>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</si>
  <si>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</si>
  <si>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</si>
  <si>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</si>
  <si>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</si>
  <si>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</si>
  <si>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</si>
  <si>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</si>
  <si>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</si>
  <si>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</si>
  <si>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</si>
  <si>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</si>
  <si>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</si>
  <si>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</si>
  <si>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</si>
  <si>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</si>
  <si>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</si>
  <si>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</si>
  <si>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</si>
  <si>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</si>
  <si>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</si>
  <si>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</si>
  <si>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</si>
  <si>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</si>
  <si>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</si>
  <si>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</si>
  <si>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</si>
  <si>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</si>
  <si>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</si>
  <si>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</si>
  <si>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</si>
  <si>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</si>
  <si>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</si>
  <si>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</si>
  <si>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</si>
  <si>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</si>
  <si>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</si>
  <si>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</si>
  <si>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</si>
  <si>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</si>
  <si>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</si>
  <si>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</si>
  <si>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</si>
  <si>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</si>
  <si>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</si>
  <si>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</si>
  <si>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</si>
  <si>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</si>
  <si>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</si>
  <si>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</si>
  <si>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</si>
  <si>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</si>
  <si>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</si>
  <si>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</si>
  <si>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</si>
  <si>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</si>
  <si>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</si>
  <si>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</si>
  <si>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</si>
  <si>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</si>
  <si>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</si>
  <si>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</si>
  <si>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</si>
  <si>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</si>
  <si>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</si>
  <si>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</si>
  <si>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</si>
  <si>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</si>
  <si>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</si>
  <si>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</si>
  <si>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</si>
  <si>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</si>
  <si>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</si>
  <si>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</si>
  <si>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</si>
  <si>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</si>
  <si>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</si>
  <si>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</si>
  <si>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</si>
  <si>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</si>
  <si>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</si>
  <si>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</si>
  <si>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</si>
  <si>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</si>
  <si>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</si>
  <si>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</si>
  <si>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</si>
  <si>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</si>
  <si>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</si>
  <si>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</si>
  <si>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</si>
  <si>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</si>
  <si>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</si>
  <si>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</si>
  <si>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</si>
  <si>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</si>
  <si>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</si>
  <si>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</si>
  <si>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</si>
  <si>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</si>
  <si>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</si>
  <si>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</si>
  <si>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</si>
  <si>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</si>
  <si>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</si>
  <si>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</si>
  <si>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</si>
  <si>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</si>
  <si>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</si>
  <si>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</si>
  <si>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</si>
  <si>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</si>
  <si>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</si>
  <si>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</si>
  <si>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</si>
  <si>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</si>
  <si>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</si>
  <si>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</si>
  <si>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</si>
  <si>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</si>
  <si>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</si>
  <si>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</si>
  <si>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</si>
  <si>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</si>
  <si>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</si>
  <si>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</si>
  <si>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</si>
  <si>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</si>
  <si>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</si>
  <si>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</si>
  <si>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</si>
  <si>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</si>
  <si>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</si>
  <si>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</si>
  <si>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</si>
  <si>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</si>
  <si>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</si>
  <si>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</si>
  <si>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</si>
  <si>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</si>
  <si>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</si>
  <si>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</si>
  <si>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</si>
  <si>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</si>
  <si>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</si>
  <si>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</si>
  <si>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</si>
  <si>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</si>
  <si>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</si>
  <si>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</si>
  <si>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</si>
  <si>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</si>
  <si>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</si>
  <si>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</si>
  <si>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</si>
  <si>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</si>
  <si>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</si>
  <si>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</si>
  <si>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</si>
  <si>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</si>
  <si>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</si>
  <si>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</si>
  <si>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</si>
  <si>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</si>
  <si>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</si>
  <si>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</si>
  <si>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</si>
  <si>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</si>
  <si>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</si>
  <si>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</si>
  <si>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</si>
  <si>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</si>
  <si>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</si>
  <si>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</si>
  <si>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</si>
  <si>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</si>
  <si>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</si>
  <si>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</si>
  <si>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</si>
  <si>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</si>
  <si>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</si>
  <si>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</si>
  <si>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</si>
  <si>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</si>
  <si>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</si>
  <si>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</si>
  <si>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</si>
  <si>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</si>
  <si>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</si>
  <si>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</si>
  <si>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</si>
  <si>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</si>
  <si>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</si>
  <si>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</si>
  <si>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</si>
  <si>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</si>
  <si>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</si>
  <si>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</si>
  <si>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</si>
  <si>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</si>
  <si>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</si>
  <si>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</si>
  <si>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</si>
  <si>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</si>
  <si>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</si>
  <si>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</si>
  <si>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</si>
  <si>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</si>
  <si>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</si>
  <si>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</si>
  <si>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</si>
  <si>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</si>
  <si>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</si>
  <si>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</si>
  <si>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</si>
  <si>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</si>
  <si>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</si>
  <si>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</si>
  <si>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</si>
  <si>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</si>
  <si>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</si>
  <si>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</si>
  <si>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</si>
  <si>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</si>
  <si>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</si>
  <si>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</si>
  <si>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</si>
  <si>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</si>
  <si>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</si>
  <si>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</si>
  <si>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</si>
  <si>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</si>
  <si>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</si>
  <si>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</si>
  <si>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</si>
  <si>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</si>
  <si>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</si>
  <si>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</si>
  <si>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</si>
  <si>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</si>
  <si>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</si>
  <si>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</si>
  <si>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</si>
  <si>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</si>
  <si>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</si>
  <si>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</si>
  <si>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</si>
  <si>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</si>
  <si>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</si>
  <si>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</si>
  <si>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</si>
  <si>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</si>
  <si>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</si>
  <si>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</si>
  <si>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</si>
  <si>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</si>
  <si>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</si>
  <si>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</si>
  <si>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</si>
  <si>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</si>
  <si>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</si>
  <si>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</si>
  <si>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</si>
  <si>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</si>
  <si>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</si>
  <si>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</si>
  <si>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</si>
  <si>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</si>
  <si>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</si>
  <si>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</si>
  <si>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</si>
  <si>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</si>
  <si>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</si>
  <si>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</si>
  <si>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</si>
  <si>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</si>
  <si>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</si>
  <si>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</si>
  <si>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</si>
  <si>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</si>
  <si>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</si>
  <si>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</si>
  <si>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</si>
  <si>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</si>
  <si>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</si>
  <si>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</si>
  <si>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</si>
  <si>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</si>
  <si>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</si>
  <si>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</si>
  <si>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</si>
  <si>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</si>
  <si>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</si>
  <si>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</si>
  <si>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</si>
  <si>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</si>
  <si>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</si>
  <si>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</si>
  <si>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</si>
  <si>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</si>
  <si>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</si>
  <si>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</si>
  <si>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</si>
  <si>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</si>
  <si>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</si>
  <si>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</si>
  <si>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</si>
  <si>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</si>
  <si>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</si>
  <si>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</si>
  <si>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</si>
  <si>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</si>
  <si>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</si>
  <si>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</si>
  <si>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</si>
  <si>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</si>
  <si>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</si>
  <si>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</si>
  <si>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</si>
  <si>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</si>
  <si>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</si>
  <si>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</si>
  <si>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</si>
  <si>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</si>
  <si>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</si>
  <si>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</si>
  <si>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</si>
  <si>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</si>
  <si>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</si>
  <si>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</si>
  <si>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</si>
  <si>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</si>
  <si>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</si>
  <si>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</si>
  <si>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</si>
  <si>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</si>
  <si>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</si>
  <si>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</si>
  <si>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</si>
  <si>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</si>
  <si>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</si>
  <si>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</si>
  <si>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</si>
  <si>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</si>
  <si>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</si>
  <si>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</si>
  <si>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</si>
  <si>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</si>
  <si>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</si>
  <si>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</si>
  <si>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</si>
  <si>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</si>
  <si>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</si>
  <si>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</si>
  <si>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</si>
  <si>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</si>
  <si>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</si>
  <si>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</si>
  <si>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</si>
  <si>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</si>
  <si>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</si>
  <si>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</si>
  <si>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</si>
  <si>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</si>
  <si>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</si>
  <si>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</si>
  <si>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</si>
  <si>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</si>
  <si>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</si>
  <si>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</si>
  <si>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</si>
  <si>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</si>
  <si>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</si>
  <si>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</si>
  <si>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</si>
  <si>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</si>
  <si>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</si>
  <si>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</si>
  <si>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</si>
  <si>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</si>
  <si>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</si>
  <si>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</si>
  <si>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</si>
  <si>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</si>
  <si>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</si>
  <si>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</si>
  <si>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</si>
  <si>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</si>
  <si>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</si>
  <si>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</si>
  <si>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</si>
  <si>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</si>
  <si>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</si>
  <si>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</si>
  <si>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</si>
  <si>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</si>
  <si>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</si>
  <si>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</si>
  <si>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</si>
  <si>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</si>
  <si>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</si>
  <si>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</si>
  <si>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</si>
  <si>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</si>
  <si>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</si>
  <si>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</si>
  <si>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</si>
  <si>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</si>
  <si>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</si>
  <si>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</si>
  <si>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</si>
  <si>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</si>
  <si>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</si>
  <si>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</si>
  <si>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</si>
  <si>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</si>
  <si>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</si>
  <si>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</si>
  <si>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</si>
  <si>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</si>
  <si>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</si>
  <si>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</si>
  <si>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</si>
  <si>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</si>
  <si>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</si>
  <si>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</si>
  <si>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</si>
  <si>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</si>
  <si>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</si>
  <si>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</si>
  <si>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</si>
  <si>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</si>
  <si>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</si>
  <si>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</si>
  <si>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</si>
  <si>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</si>
  <si>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</si>
  <si>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</si>
  <si>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</si>
  <si>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</si>
  <si>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</si>
  <si>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</si>
  <si>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</si>
  <si>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</si>
  <si>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</si>
  <si>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</si>
  <si>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</si>
  <si>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</si>
  <si>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</si>
  <si>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</si>
  <si>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</si>
  <si>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</si>
  <si>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</si>
  <si>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</si>
  <si>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</si>
  <si>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</si>
  <si>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</si>
  <si>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</si>
  <si>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</si>
  <si>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</si>
  <si>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</si>
  <si>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</si>
  <si>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</si>
  <si>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</si>
  <si>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</si>
  <si>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</si>
  <si>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</si>
  <si>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</si>
  <si>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</si>
  <si>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</si>
  <si>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</si>
  <si>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</si>
  <si>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</si>
  <si>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</si>
  <si>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</si>
  <si>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</si>
  <si>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</si>
  <si>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</si>
  <si>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</si>
  <si>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</si>
  <si>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</si>
  <si>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</si>
  <si>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</si>
  <si>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</si>
  <si>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</si>
  <si>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</si>
  <si>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</si>
  <si>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</si>
  <si>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</si>
  <si>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</si>
  <si>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</si>
  <si>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</si>
  <si>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</si>
  <si>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</si>
  <si>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</si>
  <si>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</si>
  <si>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</si>
  <si>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</si>
  <si>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</si>
  <si>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</si>
  <si>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</si>
  <si>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</si>
  <si>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</si>
  <si>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</si>
  <si>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</si>
  <si>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</si>
  <si>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</si>
  <si>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</si>
  <si>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</si>
  <si>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</si>
  <si>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</si>
  <si>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</si>
  <si>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</si>
  <si>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</si>
  <si>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</si>
  <si>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</si>
  <si>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</si>
  <si>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</si>
  <si>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</si>
  <si>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</si>
  <si>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</si>
  <si>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</si>
  <si>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</si>
  <si>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</si>
  <si>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</si>
  <si>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</si>
  <si>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</si>
  <si>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</si>
  <si>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</si>
  <si>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</si>
  <si>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</si>
  <si>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</si>
  <si>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</si>
  <si>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</si>
  <si>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</si>
  <si>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</si>
  <si>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</si>
  <si>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</si>
  <si>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</si>
  <si>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</si>
  <si>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</si>
  <si>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</si>
  <si>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</si>
  <si>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</si>
  <si>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</si>
  <si>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</si>
  <si>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</si>
  <si>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</si>
  <si>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</si>
  <si>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</si>
  <si>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</si>
  <si>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</si>
  <si>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</si>
  <si>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</si>
  <si>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</si>
  <si>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</si>
  <si>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</si>
  <si>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</si>
  <si>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</si>
  <si>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</si>
  <si>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</si>
  <si>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</si>
  <si>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</si>
  <si>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</si>
  <si>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</si>
  <si>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</si>
  <si>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</si>
  <si>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</si>
  <si>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</si>
  <si>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</si>
  <si>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</si>
  <si>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</si>
  <si>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</si>
  <si>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</si>
  <si>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</si>
  <si>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</si>
  <si>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</si>
  <si>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</si>
  <si>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</si>
  <si>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</si>
  <si>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</si>
  <si>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</si>
  <si>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</si>
  <si>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</si>
  <si>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</si>
  <si>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</si>
  <si>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</si>
  <si>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</si>
  <si>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</si>
  <si>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</si>
  <si>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</si>
  <si>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</si>
  <si>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</si>
  <si>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</si>
  <si>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</si>
  <si>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</si>
  <si>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</si>
  <si>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</si>
  <si>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</si>
  <si>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</si>
  <si>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</si>
  <si>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</si>
  <si>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</si>
  <si>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</si>
  <si>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</si>
  <si>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</si>
  <si>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</si>
  <si>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</si>
  <si>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</si>
  <si>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</si>
  <si>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</si>
  <si>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</si>
  <si>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</si>
  <si>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</si>
  <si>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</si>
  <si>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</si>
  <si>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</si>
  <si>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</si>
  <si>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</si>
  <si>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</si>
  <si>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</si>
  <si>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</si>
  <si>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</si>
  <si>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</si>
  <si>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</si>
  <si>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</si>
  <si>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</si>
  <si>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</si>
  <si>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</si>
  <si>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</si>
  <si>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</si>
  <si>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</si>
  <si>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</si>
  <si>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</si>
  <si>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</si>
  <si>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</si>
  <si>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</si>
  <si>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</si>
  <si>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</si>
  <si>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</si>
  <si>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</si>
  <si>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</si>
  <si>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</si>
  <si>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</si>
  <si>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</si>
  <si>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</si>
  <si>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</si>
  <si>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</si>
  <si>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</si>
  <si>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</si>
  <si>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</si>
  <si>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</si>
  <si>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</si>
  <si>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</si>
  <si>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</si>
  <si>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</si>
  <si>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</si>
  <si>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</si>
  <si>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</si>
  <si>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</si>
  <si>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</si>
  <si>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</si>
  <si>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</si>
  <si>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</si>
  <si>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</si>
  <si>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</si>
  <si>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</si>
  <si>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</si>
  <si>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</si>
  <si>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</si>
  <si>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</si>
  <si>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</si>
  <si>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</si>
  <si>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</si>
  <si>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</si>
  <si>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</si>
  <si>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</si>
  <si>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</si>
  <si>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</si>
  <si>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</si>
  <si>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</si>
  <si>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</si>
  <si>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</si>
  <si>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</si>
  <si>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</si>
  <si>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</si>
  <si>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</si>
  <si>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</si>
  <si>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</si>
  <si>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</si>
  <si>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</si>
  <si>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</si>
  <si>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</si>
  <si>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</si>
  <si>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</si>
  <si>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</si>
  <si>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</si>
  <si>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</si>
  <si>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</si>
  <si>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</si>
  <si>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</si>
  <si>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</si>
  <si>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</si>
  <si>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</si>
  <si>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</si>
  <si>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</si>
  <si>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</si>
  <si>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</si>
  <si>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</si>
  <si>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</si>
  <si>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</si>
  <si>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</si>
  <si>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</si>
  <si>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</si>
  <si>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</si>
  <si>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</si>
  <si>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</si>
  <si>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</si>
  <si>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</si>
  <si>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</si>
  <si>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</si>
  <si>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</si>
  <si>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</si>
  <si>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</si>
  <si>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</si>
  <si>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</si>
  <si>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</si>
  <si>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</si>
  <si>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</si>
  <si>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</si>
  <si>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</si>
  <si>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</si>
  <si>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</si>
  <si>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</si>
  <si>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</si>
  <si>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</si>
  <si>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</si>
  <si>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</si>
  <si>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</si>
  <si>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</si>
  <si>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</si>
  <si>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</si>
  <si>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</si>
  <si>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</si>
  <si>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</si>
  <si>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</si>
  <si>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</si>
  <si>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</si>
  <si>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</si>
  <si>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</si>
  <si>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</si>
  <si>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</si>
  <si>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</si>
  <si>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</si>
  <si>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</si>
  <si>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</si>
  <si>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</si>
  <si>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</si>
  <si>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</si>
  <si>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</si>
  <si>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</si>
  <si>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</si>
  <si>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</si>
  <si>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</si>
  <si>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</si>
  <si>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</si>
  <si>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</si>
  <si>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</si>
  <si>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</si>
  <si>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</si>
  <si>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</si>
  <si>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</si>
  <si>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</si>
  <si>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</si>
  <si>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</si>
  <si>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</si>
  <si>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</si>
  <si>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</si>
  <si>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</si>
  <si>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</si>
  <si>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</si>
  <si>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</si>
  <si>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</si>
  <si>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</si>
  <si>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</si>
  <si>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</si>
  <si>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</si>
  <si>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</si>
  <si>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</si>
  <si>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</si>
  <si>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</si>
  <si>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</si>
  <si>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</si>
  <si>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</si>
  <si>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</si>
  <si>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</si>
  <si>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</si>
  <si>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</si>
  <si>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</si>
  <si>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</si>
  <si>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</si>
  <si>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</si>
  <si>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</si>
  <si>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</si>
  <si>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</si>
  <si>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</si>
  <si>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</si>
  <si>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</si>
  <si>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</si>
  <si>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</si>
  <si>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</si>
  <si>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</si>
  <si>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</si>
  <si>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</si>
  <si>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</si>
  <si>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</si>
  <si>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</si>
  <si>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</si>
  <si>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</si>
  <si>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</si>
  <si>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</si>
  <si>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</si>
  <si>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</si>
  <si>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</si>
  <si>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</si>
  <si>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</si>
  <si>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</si>
  <si>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</si>
  <si>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</si>
  <si>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</si>
  <si>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</si>
  <si>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</si>
  <si>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</si>
  <si>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</si>
  <si>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</si>
  <si>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</si>
  <si>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</si>
  <si>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</si>
  <si>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</si>
  <si>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</si>
  <si>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</si>
  <si>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</si>
  <si>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</si>
  <si>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</si>
  <si>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</si>
  <si>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</si>
  <si>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</si>
  <si>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</si>
  <si>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</si>
  <si>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</si>
  <si>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</si>
  <si>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</si>
  <si>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</si>
  <si>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</si>
  <si>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</si>
  <si>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</si>
  <si>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</si>
  <si>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</si>
  <si>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</si>
  <si>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</si>
  <si>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</si>
  <si>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</si>
  <si>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</si>
  <si>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</si>
  <si>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</si>
  <si>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</si>
  <si>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</si>
  <si>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</si>
  <si>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</si>
  <si>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</si>
  <si>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</si>
  <si>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</si>
  <si>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</si>
  <si>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</si>
  <si>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</si>
  <si>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</si>
  <si>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</si>
  <si>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</si>
  <si>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</si>
  <si>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</si>
  <si>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</si>
  <si>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</si>
  <si>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</si>
  <si>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</si>
  <si>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</si>
  <si>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</si>
  <si>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</si>
  <si>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</si>
  <si>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</si>
  <si>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</si>
  <si>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</si>
  <si>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</si>
  <si>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</si>
  <si>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</si>
  <si>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</si>
  <si>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</si>
  <si>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</si>
  <si>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</si>
  <si>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</si>
  <si>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</si>
  <si>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</si>
  <si>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</si>
  <si>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</si>
  <si>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</si>
  <si>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</si>
  <si>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</si>
  <si>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</si>
  <si>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</si>
  <si>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</si>
  <si>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</si>
  <si>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</si>
  <si>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</si>
  <si>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</si>
  <si>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</si>
  <si>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</si>
  <si>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</si>
  <si>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</si>
  <si>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</si>
  <si>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</si>
  <si>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</si>
  <si>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</si>
  <si>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</si>
  <si>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</si>
  <si>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</si>
  <si>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</si>
  <si>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</si>
  <si>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</si>
  <si>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</si>
  <si>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</si>
  <si>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</si>
  <si>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</si>
  <si>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</si>
  <si>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</si>
  <si>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</si>
  <si>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</si>
  <si>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</si>
  <si>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</si>
  <si>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</si>
  <si>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</si>
  <si>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</si>
  <si>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</si>
  <si>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</si>
  <si>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</si>
  <si>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</si>
  <si>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</si>
  <si>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</si>
  <si>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</si>
  <si>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</si>
  <si>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</si>
  <si>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</si>
  <si>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</si>
  <si>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</si>
  <si>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</si>
  <si>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</si>
  <si>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</si>
  <si>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</si>
  <si>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</si>
  <si>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</si>
  <si>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</si>
  <si>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</si>
  <si>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</si>
  <si>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</si>
  <si>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</si>
  <si>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</si>
  <si>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</si>
  <si>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</si>
  <si>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</si>
  <si>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</si>
  <si>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</si>
  <si>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</si>
  <si>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</si>
  <si>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</si>
  <si>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</si>
  <si>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</si>
  <si>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</si>
  <si>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</si>
  <si>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</si>
  <si>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</si>
  <si>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</si>
  <si>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</si>
  <si>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</si>
  <si>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</si>
  <si>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</si>
  <si>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</si>
  <si>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</si>
  <si>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</si>
  <si>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</si>
  <si>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</si>
  <si>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</si>
  <si>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</si>
  <si>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</si>
  <si>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</si>
  <si>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</si>
  <si>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</si>
  <si>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</si>
  <si>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</si>
  <si>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</si>
  <si>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</si>
  <si>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</si>
  <si>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</si>
  <si>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</si>
  <si>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</si>
  <si>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</si>
  <si>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</si>
  <si>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</si>
  <si>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</si>
  <si>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</si>
  <si>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</si>
  <si>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</si>
  <si>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</si>
  <si>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</si>
  <si>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</si>
  <si>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</si>
  <si>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</si>
  <si>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</si>
  <si>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</si>
  <si>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</si>
  <si>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</si>
  <si>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</si>
  <si>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</si>
  <si>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</si>
  <si>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</si>
  <si>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</si>
  <si>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</si>
  <si>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</si>
  <si>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</si>
  <si>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</si>
  <si>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</si>
  <si>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</si>
  <si>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</si>
  <si>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</si>
  <si>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</si>
  <si>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</si>
  <si>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</si>
  <si>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</si>
  <si>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</si>
  <si>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</si>
  <si>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</si>
  <si>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</si>
  <si>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</si>
  <si>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</si>
  <si>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</si>
  <si>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</si>
  <si>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</si>
  <si>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</si>
  <si>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</si>
  <si>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</si>
  <si>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</si>
  <si>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</si>
  <si>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</si>
  <si>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</si>
  <si>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</si>
  <si>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</si>
  <si>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</si>
  <si>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</si>
  <si>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</si>
  <si>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</si>
  <si>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</si>
  <si>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</si>
  <si>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</si>
  <si>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</si>
  <si>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</si>
  <si>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</si>
  <si>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</si>
  <si>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</si>
  <si>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</si>
  <si>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</si>
  <si>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</si>
  <si>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</si>
  <si>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</si>
  <si>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</si>
  <si>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</si>
  <si>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</si>
  <si>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</si>
  <si>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</si>
  <si>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</si>
  <si>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</si>
  <si>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</si>
  <si>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</si>
  <si>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</si>
  <si>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</si>
  <si>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</si>
  <si>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</si>
  <si>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</si>
  <si>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</si>
  <si>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</si>
  <si>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</si>
  <si>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</si>
  <si>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</si>
  <si>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</si>
  <si>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</si>
  <si>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</si>
  <si>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</si>
  <si>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</si>
  <si>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</si>
  <si>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</si>
  <si>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</si>
  <si>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</si>
  <si>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</si>
  <si>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</si>
  <si>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</si>
  <si>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</si>
  <si>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</si>
  <si>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</si>
  <si>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</si>
  <si>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</si>
  <si>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</si>
  <si>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</si>
  <si>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</si>
  <si>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</si>
  <si>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</si>
  <si>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</si>
  <si>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</si>
  <si>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</si>
  <si>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</si>
  <si>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</si>
  <si>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</si>
  <si>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</si>
  <si>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</si>
  <si>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</si>
  <si>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</si>
  <si>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</si>
  <si>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</si>
  <si>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</si>
  <si>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</si>
  <si>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</si>
  <si>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</si>
  <si>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</si>
  <si>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</si>
  <si>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</si>
  <si>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</si>
  <si>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</si>
  <si>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</si>
  <si>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</si>
  <si>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</si>
  <si>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</si>
  <si>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</si>
  <si>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</si>
  <si>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</si>
  <si>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</si>
  <si>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</si>
  <si>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</si>
  <si>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</si>
  <si>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</si>
  <si>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</si>
  <si>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</si>
  <si>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</si>
  <si>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</si>
  <si>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</si>
  <si>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</si>
  <si>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</si>
  <si>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</si>
  <si>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</si>
  <si>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</si>
  <si>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</si>
  <si>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</si>
  <si>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</si>
  <si>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</si>
  <si>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</si>
  <si>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</si>
  <si>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</si>
  <si>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</si>
  <si>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</si>
  <si>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</si>
  <si>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</si>
  <si>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</si>
  <si>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</si>
  <si>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</si>
  <si>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</si>
  <si>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</si>
  <si>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</si>
  <si>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</si>
  <si>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</si>
  <si>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</si>
  <si>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</si>
  <si>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</si>
  <si>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</si>
  <si>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</si>
  <si>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</si>
  <si>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</si>
  <si>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</si>
  <si>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</si>
  <si>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</si>
  <si>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</si>
  <si>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</si>
  <si>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</si>
  <si>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</si>
  <si>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</si>
  <si>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</si>
  <si>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</si>
  <si>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</si>
  <si>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</si>
  <si>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</si>
  <si>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</si>
  <si>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</si>
  <si>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</si>
  <si>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</si>
  <si>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</si>
  <si>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</si>
  <si>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</si>
  <si>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</si>
  <si>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</si>
  <si>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</si>
  <si>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</si>
  <si>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</si>
  <si>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</si>
  <si>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</si>
  <si>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</si>
  <si>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</si>
  <si>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</si>
  <si>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</si>
  <si>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</si>
  <si>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</si>
  <si>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</si>
  <si>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</si>
  <si>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</si>
  <si>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</si>
  <si>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</si>
  <si>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</si>
  <si>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</si>
  <si>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</si>
  <si>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</si>
  <si>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</si>
  <si>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</si>
  <si>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</si>
  <si>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</si>
  <si>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</si>
  <si>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</si>
  <si>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</si>
  <si>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</si>
  <si>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</si>
  <si>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</si>
  <si>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</si>
  <si>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</si>
  <si>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</si>
  <si>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</si>
  <si>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</si>
  <si>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</si>
  <si>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</si>
  <si>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</si>
  <si>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</si>
  <si>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</si>
  <si>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</si>
  <si>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</si>
  <si>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</si>
  <si>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</si>
  <si>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</si>
  <si>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</si>
  <si>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</si>
  <si>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</si>
  <si>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</si>
  <si>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</si>
  <si>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</si>
  <si>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</si>
  <si>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</si>
  <si>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</si>
  <si>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</si>
  <si>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</si>
  <si>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</si>
  <si>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</si>
  <si>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</si>
  <si>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</si>
  <si>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</si>
  <si>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</si>
  <si>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</si>
  <si>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</si>
  <si>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</si>
  <si>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</si>
  <si>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</si>
  <si>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</si>
  <si>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</si>
  <si>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</si>
  <si>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</si>
  <si>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</si>
  <si>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</si>
  <si>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</si>
  <si>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</si>
  <si>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</si>
  <si>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</si>
  <si>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</si>
  <si>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</si>
  <si>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</si>
  <si>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</si>
  <si>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</si>
  <si>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</si>
  <si>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</si>
  <si>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</si>
  <si>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</si>
  <si>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</si>
  <si>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</si>
  <si>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</si>
  <si>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</si>
  <si>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</si>
  <si>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</si>
  <si>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</si>
  <si>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</si>
  <si>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</si>
  <si>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</si>
  <si>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</si>
  <si>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</si>
  <si>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</si>
  <si>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</si>
  <si>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</si>
  <si>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</si>
  <si>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</si>
  <si>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</si>
  <si>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</si>
  <si>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</si>
  <si>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</si>
  <si>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</si>
  <si>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</si>
  <si>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</si>
  <si>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</si>
  <si>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</si>
  <si>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</si>
  <si>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</si>
  <si>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</si>
  <si>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</si>
  <si>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</si>
  <si>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</si>
  <si>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</si>
  <si>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</si>
  <si>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</si>
  <si>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</si>
  <si>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</si>
  <si>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</si>
  <si>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</si>
  <si>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</si>
  <si>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</si>
  <si>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</si>
  <si>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</si>
  <si>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</si>
  <si>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</si>
  <si>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</si>
  <si>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</si>
  <si>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</si>
  <si>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</si>
  <si>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</si>
  <si>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</si>
  <si>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</si>
  <si>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</si>
  <si>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</si>
  <si>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</si>
  <si>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</si>
  <si>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</si>
  <si>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</si>
  <si>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</si>
  <si>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</si>
  <si>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</si>
  <si>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</si>
  <si>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</si>
  <si>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</si>
  <si>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</si>
  <si>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</si>
  <si>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</si>
  <si>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</si>
  <si>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</si>
  <si>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</si>
  <si>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</si>
  <si>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</si>
  <si>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</si>
  <si>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</si>
  <si>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</si>
  <si>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</si>
  <si>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</si>
  <si>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</si>
  <si>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</si>
  <si>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</si>
  <si>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</si>
  <si>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</si>
  <si>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</si>
  <si>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</si>
  <si>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</si>
  <si>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</si>
  <si>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</si>
  <si>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</si>
  <si>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</si>
  <si>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</si>
  <si>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</si>
  <si>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</si>
  <si>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</si>
  <si>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</si>
  <si>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</si>
  <si>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</si>
  <si>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</si>
  <si>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</si>
  <si>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</si>
  <si>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</si>
  <si>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</si>
  <si>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</si>
  <si>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</si>
  <si>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</si>
  <si>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</si>
  <si>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</si>
  <si>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</si>
  <si>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</si>
  <si>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</si>
  <si>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</si>
  <si>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</si>
  <si>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</si>
  <si>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</si>
  <si>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</si>
  <si>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</si>
  <si>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</si>
  <si>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</si>
  <si>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</si>
  <si>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</si>
  <si>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</si>
  <si>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</si>
  <si>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</si>
  <si>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</si>
  <si>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</si>
  <si>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</si>
  <si>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</si>
  <si>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</si>
  <si>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</si>
  <si>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</si>
  <si>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</si>
  <si>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</si>
  <si>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</si>
  <si>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</si>
  <si>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</si>
  <si>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</si>
  <si>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</si>
  <si>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</si>
  <si>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</si>
  <si>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</si>
  <si>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</si>
  <si>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</si>
  <si>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</si>
  <si>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</si>
  <si>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</si>
  <si>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</si>
  <si>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</si>
  <si>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</si>
  <si>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</si>
  <si>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</si>
  <si>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</si>
  <si>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</si>
  <si>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</si>
  <si>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</si>
  <si>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</si>
  <si>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</si>
  <si>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</si>
  <si>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</si>
  <si>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</si>
  <si>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</si>
  <si>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</si>
  <si>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</si>
  <si>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</si>
  <si>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</si>
  <si>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</si>
  <si>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</si>
  <si>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</si>
  <si>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</si>
  <si>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</si>
  <si>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</si>
  <si>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</si>
  <si>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</si>
  <si>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</si>
  <si>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</si>
  <si>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</si>
  <si>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</si>
  <si>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</si>
  <si>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</si>
  <si>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</si>
  <si>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</si>
  <si>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</si>
  <si>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</si>
  <si>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</si>
  <si>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</si>
  <si>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</si>
  <si>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</si>
  <si>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</si>
  <si>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</si>
  <si>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</si>
  <si>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</si>
  <si>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</si>
  <si>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</si>
  <si>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</si>
  <si>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</si>
  <si>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</si>
  <si>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</si>
  <si>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</si>
  <si>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</si>
  <si>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</si>
  <si>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</si>
  <si>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</si>
  <si>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</si>
  <si>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</si>
  <si>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</si>
  <si>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</si>
  <si>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</si>
  <si>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</si>
  <si>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</si>
  <si>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</si>
  <si>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</si>
  <si>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</si>
  <si>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</si>
  <si>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</si>
  <si>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</si>
  <si>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</si>
  <si>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</si>
  <si>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</si>
  <si>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</si>
  <si>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</si>
  <si>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</si>
  <si>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</si>
  <si>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</si>
  <si>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</si>
  <si>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</si>
  <si>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</si>
  <si>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</si>
  <si>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</si>
  <si>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</si>
  <si>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</si>
  <si>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</si>
  <si>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</si>
  <si>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</si>
  <si>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</si>
  <si>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</si>
  <si>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</si>
  <si>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</si>
  <si>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</si>
  <si>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</si>
  <si>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</si>
  <si>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</si>
  <si>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</si>
  <si>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</si>
  <si>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</si>
  <si>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</si>
  <si>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</si>
  <si>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</si>
  <si>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</si>
  <si>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</si>
  <si>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</si>
  <si>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</si>
  <si>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</si>
  <si>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</si>
  <si>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</si>
  <si>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</si>
  <si>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</si>
  <si>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</si>
  <si>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</si>
  <si>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</si>
  <si>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</si>
  <si>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</si>
  <si>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</si>
  <si>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</si>
  <si>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</si>
  <si>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</si>
  <si>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</si>
  <si>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</si>
  <si>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</si>
  <si>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</si>
  <si>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</si>
  <si>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</si>
  <si>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</si>
  <si>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</si>
  <si>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</si>
  <si>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</si>
  <si>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</si>
  <si>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</si>
  <si>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</si>
  <si>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</si>
  <si>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</si>
  <si>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</si>
  <si>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</si>
  <si>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</si>
  <si>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</si>
  <si>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</si>
  <si>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</si>
  <si>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</si>
  <si>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</si>
  <si>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</si>
  <si>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</si>
  <si>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</si>
  <si>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</si>
  <si>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</si>
  <si>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</si>
  <si>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</si>
  <si>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</si>
  <si>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</si>
  <si>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</si>
  <si>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</si>
  <si>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</si>
  <si>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</si>
  <si>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</si>
  <si>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</si>
  <si>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</si>
  <si>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</si>
  <si>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</si>
  <si>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</si>
  <si>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</si>
  <si>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</si>
  <si>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</si>
  <si>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</si>
  <si>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</si>
  <si>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</si>
  <si>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</si>
  <si>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</si>
  <si>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</si>
  <si>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</si>
  <si>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</si>
  <si>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</si>
  <si>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</si>
  <si>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</si>
  <si>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</si>
  <si>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</si>
  <si>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</si>
  <si>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</si>
  <si>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</si>
  <si>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</si>
  <si>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</si>
  <si>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</si>
  <si>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</si>
  <si>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</si>
  <si>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</si>
  <si>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</si>
  <si>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</si>
  <si>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</si>
  <si>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</si>
  <si>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</si>
  <si>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</si>
  <si>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</si>
  <si>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</si>
  <si>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</si>
  <si>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</si>
  <si>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</si>
  <si>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</si>
  <si>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</si>
  <si>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</si>
  <si>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</si>
  <si>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</si>
  <si>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</si>
  <si>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</si>
  <si>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</si>
  <si>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</si>
  <si>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</si>
  <si>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</si>
  <si>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</si>
  <si>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</si>
  <si>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</si>
  <si>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</si>
  <si>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</si>
  <si>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</si>
  <si>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</si>
  <si>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</si>
  <si>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</si>
  <si>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</si>
  <si>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</si>
  <si>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</si>
  <si>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</si>
  <si>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</si>
  <si>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</si>
  <si>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</si>
  <si>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</si>
  <si>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</si>
  <si>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</si>
  <si>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</si>
  <si>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</si>
  <si>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</si>
  <si>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</si>
  <si>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</si>
  <si>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</si>
  <si>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</si>
  <si>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</si>
  <si>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</si>
  <si>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</si>
  <si>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</si>
  <si>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</si>
  <si>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</si>
  <si>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</si>
  <si>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</si>
  <si>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</si>
  <si>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</si>
  <si>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</si>
  <si>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</si>
  <si>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</si>
  <si>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</si>
  <si>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</si>
  <si>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</si>
  <si>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</si>
  <si>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</si>
  <si>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</si>
  <si>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</si>
  <si>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</si>
  <si>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</si>
  <si>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</si>
  <si>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</si>
  <si>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</si>
  <si>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</si>
  <si>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</si>
  <si>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</si>
  <si>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</si>
  <si>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</si>
  <si>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</si>
  <si>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</si>
  <si>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</si>
  <si>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</si>
  <si>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</si>
  <si>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</si>
  <si>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</si>
  <si>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</si>
  <si>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</si>
  <si>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</si>
  <si>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</si>
  <si>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</si>
  <si>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</si>
  <si>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</si>
  <si>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</si>
  <si>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</si>
  <si>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</si>
  <si>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</si>
  <si>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</si>
  <si>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</si>
  <si>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</si>
  <si>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</si>
  <si>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</si>
  <si>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</si>
  <si>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</si>
  <si>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</si>
  <si>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</si>
  <si>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</si>
  <si>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</si>
  <si>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</si>
  <si>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</si>
  <si>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</si>
  <si>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</si>
  <si>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</si>
  <si>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</si>
  <si>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</si>
  <si>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</si>
  <si>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</si>
  <si>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</si>
  <si>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</si>
  <si>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</si>
  <si>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</si>
  <si>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</si>
  <si>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</si>
  <si>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</si>
  <si>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</si>
  <si>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</si>
  <si>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</si>
  <si>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</si>
  <si>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</si>
  <si>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</si>
  <si>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</si>
  <si>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</si>
  <si>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</si>
  <si>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</si>
  <si>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</si>
  <si>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</si>
  <si>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</si>
  <si>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</si>
  <si>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</si>
  <si>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</si>
  <si>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</si>
  <si>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</si>
  <si>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</si>
  <si>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</si>
  <si>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</si>
  <si>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</si>
  <si>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</si>
  <si>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</si>
  <si>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</si>
  <si>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</si>
  <si>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</si>
  <si>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</si>
  <si>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</si>
  <si>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</si>
  <si>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</si>
  <si>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</si>
  <si>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</si>
  <si>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</si>
  <si>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</si>
  <si>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</si>
  <si>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</si>
  <si>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</si>
  <si>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</si>
  <si>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</si>
  <si>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</si>
  <si>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</si>
  <si>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</si>
  <si>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</si>
  <si>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</si>
  <si>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</si>
  <si>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</si>
  <si>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</si>
  <si>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</si>
  <si>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</si>
  <si>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</si>
  <si>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</si>
  <si>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</si>
  <si>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</si>
  <si>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</si>
  <si>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</si>
  <si>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</si>
  <si>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</si>
  <si>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</si>
  <si>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</si>
  <si>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</si>
  <si>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</si>
  <si>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</si>
  <si>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</si>
  <si>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</si>
  <si>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</si>
  <si>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</si>
  <si>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</si>
  <si>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</si>
  <si>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</si>
  <si>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</si>
  <si>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</si>
  <si>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</si>
  <si>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</si>
  <si>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</si>
  <si>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</si>
  <si>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</si>
  <si>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</si>
  <si>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</si>
  <si>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</si>
  <si>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</si>
  <si>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</si>
  <si>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</si>
  <si>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</si>
  <si>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</si>
  <si>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</si>
  <si>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</si>
  <si>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</si>
  <si>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</si>
  <si>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</si>
  <si>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</si>
  <si>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</si>
  <si>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</si>
  <si>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</si>
  <si>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</si>
  <si>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</si>
  <si>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</si>
  <si>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</si>
  <si>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</si>
  <si>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</si>
  <si>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</si>
  <si>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</si>
  <si>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</si>
  <si>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</si>
  <si>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</si>
  <si>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</si>
  <si>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</si>
  <si>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</si>
  <si>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</si>
  <si>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</si>
  <si>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</si>
  <si>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</si>
  <si>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</si>
  <si>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</si>
  <si>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</si>
  <si>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</si>
  <si>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</si>
  <si>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</si>
  <si>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</si>
  <si>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</si>
  <si>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</si>
  <si>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</si>
  <si>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</si>
  <si>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</si>
  <si>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</si>
  <si>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</si>
  <si>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</si>
  <si>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</si>
  <si>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</si>
  <si>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</si>
  <si>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</si>
  <si>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</si>
  <si>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</si>
  <si>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</si>
  <si>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</si>
  <si>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</si>
  <si>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</si>
  <si>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</si>
  <si>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</si>
  <si>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</si>
  <si>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</si>
  <si>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</si>
  <si>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</si>
  <si>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</si>
  <si>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</si>
  <si>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</si>
  <si>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</si>
  <si>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</si>
  <si>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</si>
  <si>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</si>
  <si>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</si>
  <si>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</si>
  <si>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</si>
  <si>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</si>
  <si>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</si>
  <si>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</si>
  <si>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</si>
  <si>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</si>
  <si>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</si>
  <si>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</si>
  <si>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</si>
  <si>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</si>
  <si>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</si>
  <si>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</si>
  <si>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</si>
  <si>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</si>
  <si>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</si>
  <si>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</si>
  <si>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</si>
  <si>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</si>
  <si>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</si>
  <si>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</si>
  <si>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</si>
  <si>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</si>
  <si>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</si>
  <si>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</si>
  <si>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</si>
  <si>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</si>
  <si>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</si>
  <si>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</si>
  <si>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</si>
  <si>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</si>
  <si>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</si>
  <si>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</si>
  <si>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</si>
  <si>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</si>
  <si>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</si>
  <si>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</si>
  <si>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</si>
  <si>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</si>
  <si>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</si>
  <si>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</si>
  <si>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</si>
  <si>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</si>
  <si>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</si>
  <si>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</si>
  <si>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</si>
  <si>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</si>
  <si>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</si>
  <si>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</si>
  <si>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</si>
  <si>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</si>
  <si>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</si>
  <si>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</si>
  <si>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</si>
  <si>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</si>
  <si>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</si>
  <si>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</si>
  <si>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</si>
  <si>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</si>
  <si>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</si>
  <si>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</si>
  <si>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</si>
  <si>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</si>
  <si>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</si>
  <si>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</si>
  <si>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</si>
  <si>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</si>
  <si>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</si>
  <si>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</si>
  <si>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</si>
  <si>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</si>
  <si>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</si>
  <si>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</si>
  <si>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</si>
  <si>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</si>
  <si>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</si>
  <si>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</si>
  <si>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</si>
  <si>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</si>
  <si>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</si>
  <si>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</si>
  <si>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</si>
  <si>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</si>
  <si>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</si>
  <si>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</si>
  <si>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</si>
  <si>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</si>
  <si>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</si>
  <si>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</si>
  <si>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</si>
  <si>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</si>
  <si>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</si>
  <si>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</si>
  <si>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</si>
  <si>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</si>
  <si>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</si>
  <si>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</si>
  <si>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</si>
  <si>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</si>
  <si>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</si>
  <si>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</si>
  <si>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</si>
  <si>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</si>
  <si>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</si>
  <si>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</si>
  <si>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</si>
  <si>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</si>
  <si>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</si>
  <si>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</si>
  <si>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</si>
  <si>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</si>
  <si>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</si>
  <si>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</si>
  <si>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</si>
  <si>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</si>
  <si>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</si>
  <si>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</si>
  <si>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</si>
  <si>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</si>
  <si>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</si>
  <si>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</si>
  <si>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</si>
  <si>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</si>
  <si>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</si>
  <si>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</si>
  <si>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</si>
  <si>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</si>
  <si>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</si>
  <si>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</si>
  <si>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</si>
  <si>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</si>
  <si>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</si>
  <si>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</si>
  <si>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</si>
  <si>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</si>
  <si>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</si>
  <si>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</si>
  <si>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</si>
  <si>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</si>
  <si>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</si>
  <si>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</si>
  <si>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</si>
  <si>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</si>
  <si>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</si>
  <si>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</si>
  <si>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</si>
  <si>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</si>
  <si>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</si>
  <si>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</si>
  <si>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</si>
  <si>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</si>
  <si>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</si>
  <si>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</si>
  <si>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</si>
  <si>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</si>
  <si>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</si>
  <si>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</si>
  <si>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</si>
  <si>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</si>
  <si>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</si>
  <si>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</si>
  <si>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</si>
  <si>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</si>
  <si>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</si>
  <si>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</si>
  <si>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</si>
  <si>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</si>
  <si>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</si>
  <si>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</si>
  <si>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</si>
  <si>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</si>
  <si>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</si>
  <si>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</si>
  <si>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</si>
  <si>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</si>
  <si>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</si>
  <si>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</si>
  <si>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</si>
  <si>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</si>
  <si>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</si>
  <si>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</si>
  <si>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</si>
  <si>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</si>
  <si>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</si>
  <si>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</si>
  <si>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</si>
  <si>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</si>
  <si>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</si>
  <si>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</si>
  <si>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</si>
  <si>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</si>
  <si>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</si>
  <si>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</si>
  <si>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</si>
  <si>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</si>
  <si>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</si>
  <si>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</si>
  <si>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</si>
  <si>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</si>
  <si>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</si>
  <si>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</si>
  <si>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</si>
  <si>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</si>
  <si>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</si>
  <si>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</si>
  <si>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</si>
  <si>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</si>
  <si>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</si>
  <si>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</si>
  <si>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</si>
  <si>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</si>
  <si>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</si>
  <si>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</si>
  <si>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</si>
  <si>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</si>
  <si>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</si>
  <si>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</si>
  <si>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</si>
  <si>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</si>
  <si>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</si>
  <si>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</si>
  <si>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</si>
  <si>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</si>
  <si>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</si>
  <si>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</si>
  <si>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</si>
  <si>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</si>
  <si>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</si>
  <si>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</si>
  <si>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</si>
  <si>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</si>
  <si>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</si>
  <si>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</si>
  <si>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</si>
  <si>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</si>
  <si>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</si>
  <si>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</si>
  <si>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</si>
  <si>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</si>
  <si>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</si>
  <si>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</si>
  <si>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</si>
  <si>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</si>
  <si>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</si>
  <si>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</si>
  <si>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</si>
  <si>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</si>
  <si>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</si>
  <si>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</si>
  <si>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</si>
  <si>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</si>
  <si>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</si>
  <si>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</si>
  <si>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</si>
  <si>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</si>
  <si>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</si>
  <si>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</si>
  <si>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</si>
  <si>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</si>
  <si>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</si>
  <si>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</si>
  <si>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</si>
  <si>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</si>
  <si>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</si>
  <si>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</si>
  <si>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</si>
  <si>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</si>
  <si>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</si>
  <si>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</si>
  <si>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</si>
  <si>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</si>
  <si>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</si>
  <si>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</si>
  <si>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</si>
  <si>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</si>
  <si>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</si>
  <si>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</si>
  <si>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</si>
  <si>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</si>
  <si>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</si>
  <si>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</si>
  <si>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</si>
  <si>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</si>
  <si>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</si>
  <si>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</si>
  <si>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</si>
  <si>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</si>
  <si>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</si>
  <si>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</si>
  <si>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</si>
  <si>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</si>
  <si>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</si>
  <si>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</si>
  <si>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</si>
  <si>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</si>
  <si>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</si>
  <si>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</si>
  <si>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</si>
  <si>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</si>
  <si>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</si>
  <si>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</si>
  <si>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</si>
  <si>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</si>
  <si>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</si>
  <si>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</si>
  <si>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</si>
  <si>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</si>
  <si>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</si>
  <si>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</si>
  <si>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</si>
  <si>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</si>
  <si>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</si>
  <si>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</si>
  <si>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</si>
  <si>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</si>
  <si>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</si>
  <si>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</si>
  <si>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</si>
  <si>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</si>
  <si>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</si>
  <si>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</si>
  <si>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</si>
  <si>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</si>
  <si>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</si>
  <si>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</si>
  <si>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</si>
  <si>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</si>
  <si>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</si>
  <si>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</si>
  <si>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</si>
  <si>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</si>
  <si>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</si>
  <si>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</si>
  <si>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</si>
  <si>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</si>
  <si>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</si>
  <si>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</si>
  <si>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</si>
  <si>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</si>
  <si>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</si>
  <si>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</si>
  <si>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</si>
  <si>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</si>
  <si>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</si>
  <si>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</si>
  <si>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</si>
  <si>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</si>
  <si>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</si>
  <si>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</si>
  <si>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</si>
  <si>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</si>
  <si>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</si>
  <si>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</si>
  <si>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</si>
  <si>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</si>
  <si>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</si>
  <si>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</si>
  <si>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</si>
  <si>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</si>
  <si>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</si>
  <si>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</si>
  <si>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</si>
  <si>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</si>
  <si>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</si>
  <si>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</si>
  <si>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</si>
  <si>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</si>
  <si>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</si>
  <si>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</si>
  <si>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</si>
  <si>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</si>
  <si>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</si>
  <si>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</si>
  <si>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</si>
  <si>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</si>
  <si>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</si>
  <si>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</si>
  <si>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</si>
  <si>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</si>
  <si>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</si>
  <si>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</si>
  <si>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</si>
  <si>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</si>
  <si>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</si>
  <si>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</si>
  <si>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</si>
  <si>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</si>
  <si>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</si>
  <si>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</si>
  <si>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</si>
  <si>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</si>
  <si>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</si>
  <si>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</si>
  <si>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</si>
  <si>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</si>
  <si>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</si>
  <si>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</si>
  <si>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</si>
  <si>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</si>
  <si>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</si>
  <si>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</si>
  <si>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</si>
  <si>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</si>
  <si>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</si>
  <si>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</si>
  <si>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</si>
  <si>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</si>
  <si>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</si>
  <si>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</si>
  <si>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</si>
  <si>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</si>
  <si>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</si>
  <si>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</si>
  <si>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</si>
  <si>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</si>
  <si>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</si>
  <si>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</si>
  <si>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</si>
  <si>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</si>
  <si>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</si>
  <si>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</si>
  <si>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</si>
  <si>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</si>
  <si>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</si>
  <si>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</si>
  <si>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</si>
  <si>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</si>
  <si>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</si>
  <si>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</si>
  <si>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</si>
  <si>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</si>
  <si>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</si>
  <si>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</si>
  <si>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</si>
  <si>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</si>
  <si>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</si>
  <si>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</si>
  <si>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</si>
  <si>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</si>
  <si>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</si>
  <si>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</si>
  <si>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</si>
  <si>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</si>
  <si>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</si>
  <si>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</si>
  <si>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</si>
  <si>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</si>
  <si>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</si>
  <si>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</si>
  <si>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</si>
  <si>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</si>
  <si>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</si>
  <si>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</si>
  <si>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</si>
  <si>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</si>
  <si>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</si>
  <si>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</si>
  <si>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</si>
  <si>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</si>
  <si>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</si>
  <si>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</si>
  <si>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</si>
  <si>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</si>
  <si>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</si>
  <si>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</si>
  <si>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</si>
  <si>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</si>
  <si>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</si>
  <si>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</si>
  <si>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</si>
  <si>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</si>
  <si>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</si>
  <si>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</si>
  <si>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</si>
  <si>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</si>
  <si>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</si>
  <si>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</si>
  <si>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</si>
  <si>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</si>
  <si>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</si>
  <si>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</si>
  <si>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</si>
  <si>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</si>
  <si>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</si>
  <si>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</si>
  <si>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</si>
  <si>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</si>
  <si>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</si>
  <si>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</si>
  <si>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</si>
  <si>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</si>
  <si>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</si>
  <si>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</si>
  <si>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</si>
  <si>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</si>
  <si>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</si>
  <si>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</si>
  <si>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</si>
  <si>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</si>
  <si>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</si>
  <si>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</si>
  <si>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</si>
  <si>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</si>
  <si>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</si>
  <si>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</si>
  <si>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</si>
  <si>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</si>
  <si>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</si>
  <si>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</si>
  <si>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</si>
  <si>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</si>
  <si>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</si>
  <si>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</si>
  <si>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</si>
  <si>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</si>
  <si>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</si>
  <si>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</si>
  <si>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</si>
  <si>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</si>
  <si>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</si>
  <si>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</si>
  <si>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</si>
  <si>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</si>
  <si>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</si>
  <si>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</si>
  <si>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</si>
  <si>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</si>
  <si>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</si>
  <si>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</si>
  <si>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</si>
  <si>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</si>
  <si>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</si>
  <si>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</si>
  <si>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</si>
  <si>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</si>
  <si>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</si>
  <si>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</si>
  <si>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</si>
  <si>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</si>
  <si>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</si>
  <si>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</si>
  <si>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</si>
  <si>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</si>
  <si>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</si>
  <si>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</si>
  <si>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</si>
  <si>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</si>
  <si>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</si>
  <si>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</si>
  <si>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</si>
  <si>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</si>
  <si>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</si>
  <si>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</si>
  <si>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</si>
  <si>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</si>
  <si>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</si>
  <si>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</si>
  <si>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</si>
  <si>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</si>
  <si>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</si>
  <si>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</si>
  <si>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</si>
  <si>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</si>
  <si>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</si>
  <si>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</si>
  <si>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</si>
  <si>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</si>
  <si>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</si>
  <si>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</si>
  <si>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</si>
  <si>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</si>
  <si>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</si>
  <si>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</si>
  <si>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</si>
  <si>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</si>
  <si>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</si>
  <si>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</si>
  <si>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</si>
  <si>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</si>
  <si>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</si>
  <si>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</si>
  <si>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</si>
  <si>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</si>
  <si>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</si>
  <si>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</si>
  <si>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</si>
  <si>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</si>
  <si>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</si>
  <si>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</si>
  <si>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</si>
  <si>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</si>
  <si>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</si>
  <si>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</si>
  <si>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</si>
  <si>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</si>
  <si>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</si>
  <si>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</si>
  <si>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</si>
  <si>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</si>
  <si>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</si>
  <si>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</si>
  <si>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</si>
  <si>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</si>
  <si>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</si>
  <si>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</si>
  <si>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</si>
  <si>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</si>
  <si>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</si>
  <si>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</si>
  <si>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</si>
  <si>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</si>
  <si>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</si>
  <si>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</si>
  <si>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</si>
  <si>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</si>
  <si>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</si>
  <si>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</si>
  <si>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</si>
  <si>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</si>
  <si>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</si>
  <si>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</si>
  <si>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</si>
  <si>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</si>
  <si>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</si>
  <si>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</si>
  <si>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</si>
  <si>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</si>
  <si>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</si>
  <si>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</si>
  <si>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</si>
  <si>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</si>
  <si>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</si>
  <si>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</si>
  <si>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</si>
  <si>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</si>
  <si>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</si>
  <si>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</si>
  <si>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</si>
  <si>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</si>
  <si>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</si>
  <si>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</si>
  <si>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</si>
  <si>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</si>
  <si>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</si>
  <si>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</si>
  <si>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</si>
  <si>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</si>
  <si>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</si>
  <si>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</si>
  <si>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</si>
  <si>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</si>
  <si>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</si>
  <si>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</si>
  <si>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</si>
  <si>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</si>
  <si>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</si>
  <si>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</si>
  <si>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</si>
  <si>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</si>
  <si>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</si>
  <si>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</si>
  <si>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</si>
  <si>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</si>
  <si>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</si>
  <si>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</si>
  <si>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</si>
  <si>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</si>
  <si>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</si>
  <si>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</si>
  <si>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</si>
  <si>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</si>
  <si>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</si>
  <si>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</si>
  <si>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</si>
  <si>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</si>
  <si>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</si>
  <si>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</si>
  <si>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</si>
  <si>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</si>
  <si>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</si>
  <si>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</si>
  <si>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</si>
  <si>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</si>
  <si>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</si>
  <si>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</si>
  <si>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</si>
  <si>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</si>
  <si>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</si>
  <si>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</si>
  <si>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</si>
  <si>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</si>
  <si>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</si>
  <si>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</si>
  <si>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</si>
  <si>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</si>
  <si>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</si>
  <si>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</si>
  <si>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</si>
  <si>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</si>
  <si>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</si>
  <si>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</si>
  <si>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</si>
  <si>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</si>
  <si>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</si>
  <si>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</si>
  <si>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</si>
  <si>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</si>
  <si>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</si>
  <si>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</si>
  <si>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</si>
  <si>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</si>
  <si>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</si>
  <si>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</si>
  <si>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</si>
  <si>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</si>
  <si>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</si>
  <si>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</si>
  <si>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</si>
  <si>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</si>
  <si>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</si>
  <si>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</si>
  <si>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</si>
  <si>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</si>
  <si>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</si>
  <si>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</si>
  <si>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</si>
  <si>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</si>
  <si>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</si>
  <si>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</si>
  <si>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</si>
  <si>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</si>
  <si>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</si>
  <si>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</si>
  <si>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</si>
  <si>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</si>
  <si>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</si>
  <si>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</si>
  <si>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</si>
  <si>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</si>
  <si>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</si>
  <si>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</si>
  <si>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</si>
  <si>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</si>
  <si>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</si>
  <si>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</si>
  <si>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</si>
  <si>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</si>
  <si>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</si>
  <si>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</si>
  <si>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</si>
  <si>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</si>
  <si>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</si>
  <si>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</si>
  <si>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</si>
  <si>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</si>
  <si>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</si>
  <si>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</si>
  <si>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</si>
  <si>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</si>
  <si>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</si>
  <si>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</si>
  <si>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</si>
  <si>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</si>
  <si>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</si>
  <si>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</si>
  <si>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</si>
  <si>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</si>
  <si>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</si>
  <si>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</si>
  <si>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</si>
  <si>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</si>
  <si>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</si>
  <si>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</si>
  <si>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</si>
  <si>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</si>
  <si>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</si>
  <si>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</si>
  <si>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</si>
  <si>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</si>
  <si>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</si>
  <si>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</si>
  <si>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</si>
  <si>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</si>
  <si>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</si>
  <si>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</si>
  <si>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</si>
  <si>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</si>
  <si>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</si>
  <si>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</si>
  <si>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</si>
  <si>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</si>
  <si>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</si>
  <si>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</si>
  <si>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</si>
  <si>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</si>
  <si>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</si>
  <si>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</si>
  <si>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</si>
  <si>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</si>
  <si>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</si>
  <si>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</si>
  <si>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</si>
  <si>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</si>
  <si>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</si>
  <si>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</si>
  <si>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</si>
  <si>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</si>
  <si>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</si>
  <si>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</si>
  <si>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</si>
  <si>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</si>
  <si>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</si>
  <si>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</si>
  <si>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</si>
  <si>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</si>
  <si>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</si>
  <si>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</si>
  <si>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</si>
  <si>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</si>
  <si>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</si>
  <si>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</si>
  <si>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</si>
  <si>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</si>
  <si>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</si>
  <si>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</si>
  <si>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</si>
  <si>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</si>
  <si>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</si>
  <si>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</si>
  <si>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</si>
  <si>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</si>
  <si>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</si>
  <si>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</si>
  <si>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</si>
  <si>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</si>
  <si>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</si>
  <si>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</si>
  <si>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</si>
  <si>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</si>
  <si>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</si>
  <si>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</si>
  <si>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</si>
  <si>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</si>
  <si>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</si>
  <si>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</si>
  <si>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</si>
  <si>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</si>
  <si>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</si>
  <si>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</si>
  <si>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</si>
  <si>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</si>
  <si>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</si>
  <si>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</si>
  <si>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</si>
  <si>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</si>
  <si>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</si>
  <si>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</si>
  <si>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</si>
  <si>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</si>
  <si>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</si>
  <si>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</si>
  <si>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</si>
  <si>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</si>
  <si>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</si>
  <si>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</si>
  <si>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</si>
  <si>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</si>
  <si>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</si>
  <si>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</si>
  <si>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</si>
  <si>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</si>
  <si>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</si>
  <si>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</si>
  <si>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</si>
  <si>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</si>
  <si>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</si>
  <si>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</si>
  <si>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</si>
  <si>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</si>
  <si>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</si>
  <si>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</si>
  <si>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</si>
  <si>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</si>
  <si>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</si>
  <si>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</si>
  <si>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</si>
  <si>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</si>
  <si>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</si>
  <si>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</si>
  <si>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</si>
  <si>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</si>
  <si>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</si>
  <si>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</si>
  <si>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</si>
  <si>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</si>
  <si>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</si>
  <si>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</si>
  <si>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</si>
  <si>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</si>
  <si>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</si>
  <si>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</si>
  <si>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</si>
  <si>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</si>
  <si>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</si>
  <si>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</si>
  <si>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</si>
  <si>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</si>
  <si>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</si>
  <si>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</si>
  <si>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</si>
  <si>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</si>
  <si>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</si>
  <si>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</si>
  <si>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</si>
  <si>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</si>
  <si>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</si>
  <si>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</si>
  <si>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</si>
  <si>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</si>
  <si>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</si>
  <si>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</si>
  <si>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</si>
  <si>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</si>
  <si>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</si>
  <si>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</si>
  <si>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</si>
  <si>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</si>
  <si>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</si>
  <si>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</si>
  <si>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</si>
  <si>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</si>
  <si>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</si>
  <si>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</si>
  <si>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</si>
  <si>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</si>
  <si>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</si>
  <si>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</si>
  <si>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</si>
  <si>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</si>
  <si>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</si>
  <si>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</si>
  <si>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</si>
  <si>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</si>
  <si>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</si>
  <si>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</si>
  <si>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</si>
  <si>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</si>
  <si>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</si>
  <si>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</si>
  <si>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</si>
  <si>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</si>
  <si>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</si>
  <si>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</si>
  <si>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</si>
  <si>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</si>
  <si>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</si>
  <si>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</si>
  <si>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</si>
  <si>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</si>
  <si>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</si>
  <si>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</si>
  <si>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</si>
  <si>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</si>
  <si>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</si>
  <si>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</si>
  <si>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</si>
  <si>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</si>
  <si>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</si>
  <si>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</si>
  <si>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</si>
  <si>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</si>
  <si>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</si>
  <si>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</si>
  <si>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</si>
  <si>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</si>
  <si>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</si>
  <si>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</si>
  <si>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</si>
  <si>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</si>
  <si>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</si>
  <si>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</si>
  <si>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</si>
  <si>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</si>
  <si>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</si>
  <si>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</si>
  <si>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</si>
  <si>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</si>
  <si>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</si>
  <si>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</si>
  <si>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</si>
  <si>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</si>
  <si>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</si>
  <si>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</si>
  <si>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</si>
  <si>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</si>
  <si>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</si>
  <si>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</si>
  <si>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</si>
  <si>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</si>
  <si>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</si>
  <si>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</si>
  <si>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</si>
  <si>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</si>
  <si>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</si>
  <si>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</si>
  <si>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</si>
  <si>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</si>
  <si>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</si>
  <si>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</si>
  <si>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</si>
  <si>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</si>
  <si>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</si>
  <si>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</si>
  <si>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</si>
  <si>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</si>
  <si>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</si>
  <si>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</si>
  <si>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</si>
  <si>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</si>
  <si>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</si>
  <si>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</si>
  <si>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</si>
  <si>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</si>
  <si>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</si>
  <si>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</si>
  <si>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</si>
  <si>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</si>
  <si>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</si>
  <si>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</si>
  <si>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</si>
  <si>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</si>
  <si>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</si>
  <si>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</si>
  <si>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</si>
  <si>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</si>
  <si>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</si>
  <si>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</si>
  <si>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</si>
  <si>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</si>
  <si>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</si>
  <si>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</si>
  <si>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</si>
  <si>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</si>
  <si>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</si>
  <si>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</si>
  <si>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</si>
  <si>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</si>
  <si>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</si>
  <si>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</si>
  <si>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</si>
  <si>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</si>
  <si>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</si>
  <si>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</si>
  <si>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</si>
  <si>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</si>
  <si>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</si>
  <si>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</si>
  <si>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</si>
  <si>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</si>
  <si>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</si>
  <si>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</si>
  <si>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</si>
  <si>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</si>
  <si>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</si>
  <si>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</si>
  <si>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</si>
  <si>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</si>
  <si>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</si>
  <si>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</si>
  <si>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</si>
  <si>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</si>
  <si>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</si>
  <si>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</si>
  <si>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</si>
  <si>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</si>
  <si>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</si>
  <si>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</si>
  <si>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</si>
  <si>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</si>
  <si>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</si>
  <si>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</si>
  <si>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</si>
  <si>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</si>
  <si>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</si>
  <si>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</si>
  <si>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</si>
  <si>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</si>
  <si>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</si>
  <si>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</si>
  <si>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</si>
  <si>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</si>
  <si>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</si>
  <si>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</si>
  <si>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</si>
  <si>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</si>
  <si>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</si>
  <si>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</si>
  <si>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</si>
  <si>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</si>
  <si>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</si>
  <si>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</si>
  <si>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</si>
  <si>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</si>
  <si>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</si>
  <si>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</si>
  <si>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</si>
  <si>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</si>
  <si>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</si>
  <si>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</si>
  <si>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</si>
  <si>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</si>
  <si>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</si>
  <si>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</si>
  <si>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</si>
  <si>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</si>
  <si>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</si>
  <si>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</si>
  <si>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</si>
  <si>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</si>
  <si>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</si>
  <si>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</si>
  <si>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</si>
  <si>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</si>
  <si>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</si>
  <si>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</si>
  <si>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</si>
  <si>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</si>
  <si>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</si>
  <si>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</si>
  <si>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</si>
  <si>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</si>
  <si>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</si>
  <si>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</si>
  <si>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</si>
  <si>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</si>
  <si>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</si>
  <si>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</si>
  <si>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</si>
  <si>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</si>
  <si>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</si>
  <si>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</si>
  <si>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</si>
  <si>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</si>
  <si>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</si>
  <si>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</si>
  <si>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</si>
  <si>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</si>
  <si>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</si>
  <si>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</si>
  <si>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</si>
  <si>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</si>
  <si>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</si>
  <si>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</si>
  <si>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</si>
  <si>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</si>
  <si>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</si>
  <si>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</si>
  <si>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</si>
  <si>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</si>
  <si>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</si>
  <si>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</si>
  <si>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</si>
  <si>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</si>
  <si>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</si>
  <si>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</si>
  <si>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</si>
  <si>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</si>
  <si>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</si>
  <si>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</si>
  <si>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</si>
  <si>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</si>
  <si>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</si>
  <si>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</si>
  <si>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</si>
  <si>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</si>
  <si>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</si>
  <si>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</si>
  <si>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</si>
  <si>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</si>
  <si>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</si>
  <si>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</si>
  <si>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</si>
  <si>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</si>
  <si>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</si>
  <si>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</si>
  <si>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</si>
  <si>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</si>
  <si>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</si>
  <si>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</si>
  <si>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</si>
  <si>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</si>
  <si>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</si>
  <si>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</si>
  <si>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</si>
  <si>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</si>
  <si>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</si>
  <si>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</si>
  <si>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</si>
  <si>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</si>
  <si>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</si>
  <si>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</si>
  <si>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</si>
  <si>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</si>
  <si>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</si>
  <si>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</si>
  <si>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</si>
  <si>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</si>
  <si>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</si>
  <si>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</si>
  <si>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</si>
  <si>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</si>
  <si>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</si>
  <si>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</si>
  <si>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</si>
  <si>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</si>
  <si>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</si>
  <si>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</si>
  <si>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</si>
  <si>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</si>
  <si>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</si>
  <si>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</si>
  <si>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</si>
  <si>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</si>
  <si>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</si>
  <si>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</si>
  <si>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</si>
  <si>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</si>
  <si>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</si>
  <si>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</si>
  <si>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</si>
  <si>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</si>
  <si>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</si>
  <si>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</si>
  <si>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</si>
  <si>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</si>
  <si>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</si>
  <si>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</si>
  <si>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</si>
  <si>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</si>
  <si>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</si>
  <si>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</si>
  <si>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</si>
  <si>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</si>
  <si>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</si>
  <si>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</si>
  <si>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</si>
  <si>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</si>
  <si>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</si>
  <si>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</si>
  <si>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</si>
  <si>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</si>
  <si>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</si>
  <si>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</si>
  <si>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</si>
  <si>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</si>
  <si>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</si>
  <si>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</si>
  <si>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</si>
  <si>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</si>
  <si>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</si>
  <si>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</si>
  <si>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</si>
  <si>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</si>
  <si>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</si>
  <si>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</si>
  <si>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</si>
  <si>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</si>
  <si>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</si>
  <si>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</si>
  <si>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</si>
  <si>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</si>
  <si>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</si>
  <si>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</si>
  <si>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</si>
  <si>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</si>
  <si>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</si>
  <si>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</si>
  <si>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</si>
  <si>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</si>
  <si>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</si>
  <si>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</si>
  <si>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</si>
  <si>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</si>
  <si>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</si>
  <si>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</si>
  <si>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</si>
  <si>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</si>
  <si>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</si>
  <si>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</si>
  <si>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</si>
  <si>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</si>
  <si>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</si>
  <si>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</si>
  <si>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</si>
  <si>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</si>
  <si>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</si>
  <si>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</si>
  <si>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</si>
  <si>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</si>
  <si>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</si>
  <si>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</si>
  <si>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</si>
  <si>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</si>
  <si>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</si>
  <si>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</si>
  <si>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</si>
  <si>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</si>
  <si>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</si>
  <si>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</si>
  <si>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</si>
  <si>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</si>
  <si>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</si>
  <si>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</si>
  <si>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</si>
  <si>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</si>
  <si>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</si>
  <si>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</si>
  <si>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</si>
  <si>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</si>
  <si>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</si>
  <si>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</si>
  <si>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</si>
  <si>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</si>
  <si>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</si>
  <si>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</si>
  <si>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</si>
  <si>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</si>
  <si>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</si>
  <si>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</si>
  <si>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</si>
  <si>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</si>
  <si>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</si>
  <si>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</si>
  <si>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</si>
  <si>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</si>
  <si>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</si>
  <si>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</si>
  <si>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</si>
  <si>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</si>
  <si>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</si>
  <si>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</si>
  <si>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</si>
  <si>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</si>
  <si>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</si>
  <si>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</si>
  <si>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</si>
  <si>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</si>
  <si>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</si>
  <si>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</si>
  <si>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</si>
  <si>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</si>
  <si>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</si>
  <si>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</si>
  <si>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</si>
  <si>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</si>
  <si>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</si>
  <si>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</si>
  <si>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</si>
  <si>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</si>
  <si>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</si>
  <si>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</si>
  <si>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</si>
  <si>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</si>
  <si>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</si>
  <si>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</si>
  <si>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</si>
  <si>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</si>
  <si>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</si>
  <si>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</si>
  <si>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</si>
  <si>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</si>
  <si>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</si>
  <si>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</si>
  <si>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</si>
  <si>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</si>
  <si>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</si>
  <si>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</si>
  <si>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</si>
  <si>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</si>
  <si>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</si>
  <si>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</si>
  <si>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</si>
  <si>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</si>
  <si>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</si>
  <si>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</si>
  <si>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</si>
  <si>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</si>
  <si>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</si>
  <si>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</si>
  <si>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</si>
  <si>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</si>
  <si>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</si>
  <si>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</si>
  <si>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</si>
  <si>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</si>
  <si>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</si>
  <si>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</si>
  <si>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</si>
  <si>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</si>
  <si>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</si>
  <si>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</si>
  <si>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</si>
  <si>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</si>
  <si>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</si>
  <si>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</si>
  <si>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</si>
  <si>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</si>
  <si>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</si>
  <si>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</si>
  <si>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</si>
  <si>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</si>
  <si>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</si>
  <si>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</si>
  <si>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</si>
  <si>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</si>
  <si>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</si>
  <si>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</si>
  <si>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</si>
  <si>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</si>
  <si>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</si>
  <si>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</si>
  <si>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</si>
  <si>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</si>
  <si>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</si>
  <si>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</si>
  <si>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</si>
  <si>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</si>
  <si>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</si>
  <si>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</si>
  <si>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</si>
  <si>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</si>
  <si>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</si>
  <si>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</si>
  <si>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</si>
  <si>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</si>
  <si>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</si>
  <si>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</si>
  <si>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</si>
  <si>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</si>
  <si>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</si>
  <si>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</si>
  <si>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</si>
  <si>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</si>
  <si>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</si>
  <si>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</si>
  <si>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</si>
  <si>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</si>
  <si>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</si>
  <si>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</si>
  <si>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</si>
  <si>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</si>
  <si>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</si>
  <si>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</si>
  <si>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</si>
  <si>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</si>
  <si>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</si>
  <si>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</si>
  <si>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</si>
  <si>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</si>
  <si>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</si>
  <si>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</si>
  <si>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</si>
  <si>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</si>
  <si>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</si>
  <si>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</si>
  <si>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</si>
  <si>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</si>
  <si>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</si>
  <si>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</si>
  <si>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</si>
  <si>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</si>
  <si>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</si>
  <si>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</si>
  <si>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</si>
  <si>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</si>
  <si>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</si>
  <si>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</si>
  <si>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</si>
  <si>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</si>
  <si>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</si>
  <si>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</si>
  <si>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</si>
  <si>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</si>
  <si>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</si>
  <si>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</si>
  <si>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</si>
  <si>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</si>
  <si>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</si>
  <si>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</si>
  <si>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</si>
  <si>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</si>
  <si>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</si>
  <si>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</si>
  <si>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</si>
  <si>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</si>
  <si>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</si>
  <si>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</si>
  <si>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</si>
  <si>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</si>
  <si>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</si>
  <si>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</si>
  <si>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</si>
  <si>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</si>
  <si>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</si>
  <si>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</si>
  <si>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</si>
  <si>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</si>
  <si>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</si>
  <si>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</si>
  <si>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</si>
  <si>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</si>
  <si>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</si>
  <si>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</si>
  <si>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</si>
  <si>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</si>
  <si>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</si>
  <si>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</si>
  <si>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</si>
  <si>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</si>
  <si>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</si>
  <si>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</si>
  <si>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</si>
  <si>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</si>
  <si>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</si>
  <si>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</si>
  <si>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</si>
  <si>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</si>
  <si>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</si>
  <si>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</si>
  <si>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</si>
  <si>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</si>
  <si>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</si>
  <si>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</si>
  <si>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</si>
  <si>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</si>
  <si>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</si>
  <si>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</si>
  <si>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</si>
  <si>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</si>
  <si>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</si>
  <si>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</si>
  <si>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</si>
  <si>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</si>
  <si>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</si>
  <si>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</si>
  <si>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</si>
  <si>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</si>
  <si>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</si>
  <si>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</si>
  <si>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</si>
  <si>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</si>
  <si>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</si>
  <si>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</si>
  <si>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</si>
  <si>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</si>
  <si>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</si>
  <si>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</si>
  <si>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</si>
  <si>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</si>
  <si>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</si>
  <si>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</si>
  <si>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</si>
  <si>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</si>
  <si>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</si>
  <si>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</si>
  <si>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</si>
  <si>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</si>
  <si>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</si>
  <si>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</si>
  <si>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</si>
  <si>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</si>
  <si>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</si>
  <si>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</si>
  <si>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</si>
  <si>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</si>
  <si>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</si>
  <si>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</si>
  <si>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</si>
  <si>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</si>
  <si>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</si>
  <si>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</si>
  <si>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</si>
  <si>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</si>
  <si>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</si>
  <si>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</si>
  <si>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</si>
  <si>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</si>
  <si>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</si>
  <si>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</si>
  <si>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</si>
  <si>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</si>
  <si>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</si>
  <si>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</si>
  <si>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</si>
  <si>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</si>
  <si>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</si>
  <si>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</si>
  <si>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</si>
  <si>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</si>
  <si>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</si>
  <si>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</si>
  <si>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</si>
  <si>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</si>
  <si>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</si>
  <si>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</si>
  <si>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</si>
  <si>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</si>
  <si>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</si>
  <si>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</si>
  <si>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</si>
  <si>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</si>
  <si>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</si>
  <si>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</si>
  <si>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</si>
  <si>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</si>
  <si>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</si>
  <si>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</si>
  <si>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</si>
  <si>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</si>
  <si>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</si>
  <si>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</si>
  <si>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</si>
  <si>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</si>
  <si>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</si>
  <si>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</si>
  <si>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</si>
  <si>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</si>
  <si>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</si>
  <si>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</si>
  <si>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</si>
  <si>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</si>
  <si>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</si>
  <si>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</si>
  <si>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</si>
  <si>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</si>
  <si>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</si>
  <si>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</si>
  <si>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</si>
  <si>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</si>
  <si>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</si>
  <si>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</si>
  <si>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</si>
  <si>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</si>
  <si>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</si>
  <si>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</si>
  <si>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</si>
  <si>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</si>
  <si>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</si>
  <si>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</si>
  <si>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</si>
  <si>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</si>
  <si>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</si>
  <si>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</si>
  <si>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</si>
  <si>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</si>
  <si>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</si>
  <si>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</si>
  <si>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</si>
  <si>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</si>
  <si>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</si>
  <si>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</si>
  <si>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</si>
  <si>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</si>
  <si>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</si>
  <si>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</si>
  <si>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</si>
  <si>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</si>
  <si>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</si>
  <si>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</si>
  <si>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</si>
  <si>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</si>
  <si>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</si>
  <si>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</si>
  <si>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</si>
  <si>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</si>
  <si>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</si>
  <si>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</si>
  <si>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</si>
  <si>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</si>
  <si>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</si>
  <si>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</si>
  <si>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</si>
  <si>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</si>
  <si>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</si>
  <si>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</si>
  <si>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</si>
  <si>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</si>
  <si>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</si>
  <si>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</si>
  <si>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</si>
  <si>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</si>
  <si>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</si>
  <si>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</si>
  <si>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</si>
  <si>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</si>
  <si>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</si>
  <si>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</si>
  <si>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</si>
  <si>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</si>
  <si>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</si>
  <si>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</si>
  <si>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</si>
  <si>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</si>
  <si>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</si>
  <si>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</si>
  <si>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</si>
  <si>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</si>
  <si>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</si>
  <si>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</si>
  <si>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</si>
  <si>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</si>
  <si>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</si>
  <si>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</si>
  <si>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</si>
  <si>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</si>
  <si>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</si>
  <si>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</si>
  <si>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</si>
  <si>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</si>
  <si>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</si>
  <si>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</si>
  <si>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</si>
  <si>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</si>
  <si>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</si>
  <si>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</si>
  <si>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</si>
  <si>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</si>
  <si>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</si>
  <si>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</si>
  <si>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</si>
  <si>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</si>
  <si>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</si>
  <si>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</si>
  <si>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</si>
  <si>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</si>
  <si>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</si>
  <si>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</si>
  <si>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</si>
  <si>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</si>
  <si>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</si>
  <si>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</si>
  <si>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</si>
  <si>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</si>
  <si>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</si>
  <si>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</si>
  <si>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</si>
  <si>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</si>
  <si>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</si>
  <si>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</si>
  <si>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</si>
  <si>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</si>
  <si>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</si>
  <si>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</si>
  <si>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</si>
  <si>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</si>
  <si>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</si>
  <si>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</si>
  <si>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</si>
  <si>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</si>
  <si>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</si>
  <si>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</si>
  <si>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</si>
  <si>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</si>
  <si>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</si>
  <si>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</si>
  <si>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</si>
  <si>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</si>
  <si>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</si>
  <si>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</si>
  <si>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</si>
  <si>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</si>
  <si>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</si>
  <si>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</si>
  <si>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</si>
  <si>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</si>
  <si>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</si>
  <si>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</si>
  <si>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</si>
  <si>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</si>
  <si>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</si>
  <si>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</si>
  <si>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</si>
  <si>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</si>
  <si>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</si>
  <si>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</si>
  <si>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</si>
  <si>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</si>
  <si>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</si>
  <si>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</si>
  <si>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</si>
  <si>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</si>
  <si>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</si>
  <si>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</si>
  <si>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</si>
  <si>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</si>
  <si>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</si>
  <si>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</si>
  <si>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</si>
  <si>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</si>
  <si>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</si>
  <si>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</si>
  <si>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</si>
  <si>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</si>
  <si>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</si>
  <si>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</si>
  <si>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</si>
  <si>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</si>
  <si>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</si>
  <si>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</si>
  <si>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</si>
  <si>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</si>
  <si>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</si>
  <si>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</si>
  <si>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</si>
  <si>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</si>
  <si>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</si>
  <si>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</si>
  <si>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</si>
  <si>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</si>
  <si>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</si>
  <si>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</si>
  <si>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</si>
  <si>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</si>
  <si>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</si>
  <si>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</si>
  <si>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</si>
  <si>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</si>
  <si>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</si>
  <si>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</si>
  <si>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</si>
  <si>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</si>
  <si>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</si>
  <si>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</si>
  <si>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</si>
  <si>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</si>
  <si>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</si>
  <si>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</si>
  <si>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</si>
  <si>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</si>
  <si>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</si>
  <si>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</si>
  <si>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</si>
  <si>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</si>
  <si>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</si>
  <si>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</si>
  <si>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</si>
  <si>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</si>
  <si>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</si>
  <si>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</si>
  <si>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</si>
  <si>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</si>
  <si>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</si>
  <si>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</si>
  <si>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</si>
  <si>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</si>
  <si>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</si>
  <si>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</si>
  <si>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</si>
  <si>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</si>
  <si>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</si>
  <si>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</si>
  <si>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</si>
  <si>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</si>
  <si>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</si>
  <si>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</si>
  <si>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</si>
  <si>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</si>
  <si>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</si>
  <si>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</si>
  <si>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</si>
  <si>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</si>
  <si>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</si>
  <si>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</si>
  <si>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</si>
  <si>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</si>
  <si>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</si>
  <si>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</si>
  <si>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</si>
  <si>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</si>
  <si>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</si>
  <si>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</si>
  <si>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</si>
  <si>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</si>
  <si>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</si>
  <si>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</si>
  <si>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</si>
  <si>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</si>
  <si>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</si>
  <si>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</si>
  <si>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</si>
  <si>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</si>
  <si>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</si>
  <si>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</si>
  <si>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</si>
  <si>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</si>
  <si>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</si>
  <si>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</si>
  <si>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</si>
  <si>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</si>
  <si>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</si>
  <si>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</si>
  <si>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</si>
  <si>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</si>
  <si>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</si>
  <si>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</si>
  <si>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</si>
  <si>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</si>
  <si>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</si>
  <si>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</si>
  <si>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</si>
  <si>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</si>
  <si>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</si>
  <si>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</si>
  <si>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</si>
  <si>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</si>
  <si>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</si>
  <si>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</si>
  <si>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</si>
  <si>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</si>
  <si>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</si>
  <si>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</si>
  <si>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</si>
  <si>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</si>
  <si>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</si>
  <si>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</si>
  <si>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</si>
  <si>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</si>
  <si>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</si>
  <si>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</si>
  <si>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</si>
  <si>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</si>
  <si>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</si>
  <si>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</si>
  <si>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</si>
  <si>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</si>
  <si>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</si>
  <si>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</si>
  <si>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</si>
  <si>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</si>
  <si>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</si>
  <si>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</si>
  <si>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</si>
  <si>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</si>
  <si>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</si>
  <si>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</si>
  <si>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</si>
  <si>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</si>
  <si>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</si>
  <si>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</si>
  <si>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</si>
  <si>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</si>
  <si>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</si>
  <si>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</si>
  <si>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</si>
  <si>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</si>
  <si>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</si>
  <si>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</si>
  <si>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</si>
  <si>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</si>
  <si>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</si>
  <si>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</si>
  <si>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</si>
  <si>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</si>
  <si>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</si>
  <si>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</si>
  <si>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</si>
  <si>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</si>
  <si>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</si>
  <si>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</si>
  <si>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</si>
  <si>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</si>
  <si>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</si>
  <si>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</si>
  <si>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</si>
  <si>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</si>
  <si>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</si>
  <si>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</si>
  <si>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</si>
  <si>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</si>
  <si>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</si>
  <si>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</si>
  <si>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</si>
  <si>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</si>
  <si>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</si>
  <si>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</si>
  <si>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</si>
  <si>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</si>
  <si>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</si>
  <si>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</si>
  <si>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</si>
  <si>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</si>
  <si>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</si>
  <si>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</si>
  <si>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</si>
  <si>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</si>
  <si>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</si>
  <si>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</si>
  <si>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</si>
  <si>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</si>
  <si>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</si>
  <si>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</si>
  <si>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</si>
  <si>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</si>
  <si>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</si>
  <si>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</si>
  <si>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</si>
  <si>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</si>
  <si>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</si>
  <si>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</si>
  <si>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</si>
  <si>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</si>
  <si>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</si>
  <si>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</si>
  <si>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</si>
  <si>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</si>
  <si>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</si>
  <si>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</si>
  <si>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</si>
  <si>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</si>
  <si>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</si>
  <si>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</si>
  <si>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</si>
  <si>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</si>
  <si>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</si>
  <si>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</si>
  <si>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</si>
  <si>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</si>
  <si>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</si>
  <si>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</si>
  <si>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</si>
  <si>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</si>
  <si>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</si>
  <si>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</si>
  <si>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</si>
  <si>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</si>
  <si>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</si>
  <si>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</si>
  <si>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</si>
  <si>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</si>
  <si>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</si>
  <si>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</si>
  <si>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</si>
  <si>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</si>
  <si>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</si>
  <si>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</si>
  <si>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</si>
  <si>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</si>
  <si>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</si>
  <si>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</si>
  <si>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</si>
  <si>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</si>
  <si>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</si>
  <si>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</si>
  <si>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</si>
  <si>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</si>
  <si>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</si>
  <si>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</si>
  <si>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</si>
  <si>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</si>
  <si>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</si>
  <si>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</si>
  <si>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</si>
  <si>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</si>
  <si>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</si>
  <si>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</si>
  <si>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</si>
  <si>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</si>
  <si>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</si>
  <si>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</si>
  <si>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</si>
  <si>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</si>
  <si>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</si>
  <si>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</si>
  <si>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</si>
  <si>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</si>
  <si>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</si>
  <si>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</si>
  <si>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</si>
  <si>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</si>
  <si>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</si>
  <si>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</si>
  <si>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</si>
  <si>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</si>
  <si>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</si>
  <si>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</si>
  <si>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</si>
  <si>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</si>
  <si>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</si>
  <si>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</si>
  <si>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</si>
  <si>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</si>
  <si>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</si>
  <si>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</si>
  <si>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</si>
  <si>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</si>
  <si>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</si>
  <si>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</si>
  <si>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</si>
  <si>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</si>
  <si>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</si>
  <si>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</si>
  <si>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</si>
  <si>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</si>
  <si>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</si>
  <si>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</si>
  <si>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</si>
  <si>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</si>
  <si>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</si>
  <si>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</si>
  <si>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</si>
  <si>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</si>
  <si>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</si>
  <si>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</si>
  <si>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</si>
  <si>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</si>
  <si>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</si>
  <si>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</si>
  <si>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</si>
  <si>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</si>
  <si>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</si>
  <si>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</si>
  <si>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</si>
  <si>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</si>
  <si>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</si>
  <si>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</si>
  <si>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</si>
  <si>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</si>
  <si>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</si>
  <si>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</si>
  <si>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</si>
  <si>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</si>
  <si>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</si>
  <si>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</si>
  <si>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</si>
  <si>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</si>
  <si>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</si>
  <si>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</si>
  <si>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</si>
  <si>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</si>
  <si>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</si>
  <si>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</si>
  <si>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</si>
  <si>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</si>
  <si>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</si>
  <si>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</si>
  <si>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</si>
  <si>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</si>
  <si>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</si>
  <si>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</si>
  <si>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</si>
  <si>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</si>
  <si>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</si>
  <si>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</si>
  <si>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</si>
  <si>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</si>
  <si>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</si>
  <si>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</si>
  <si>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</si>
  <si>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</si>
  <si>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</si>
  <si>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</si>
  <si>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</si>
  <si>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</si>
  <si>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</si>
  <si>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</si>
  <si>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</si>
  <si>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</si>
  <si>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</si>
  <si>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</si>
  <si>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</si>
  <si>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</si>
  <si>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</si>
  <si>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</si>
  <si>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</si>
  <si>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</si>
  <si>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</si>
  <si>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</si>
  <si>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</si>
  <si>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</si>
  <si>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</si>
  <si>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</si>
  <si>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</si>
  <si>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</si>
  <si>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</si>
  <si>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</si>
  <si>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</si>
  <si>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</si>
  <si>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</si>
  <si>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</si>
  <si>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</si>
  <si>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</si>
  <si>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</si>
  <si>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</si>
  <si>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</si>
  <si>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</si>
  <si>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</si>
  <si>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</si>
  <si>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</si>
  <si>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</si>
  <si>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</si>
  <si>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</si>
  <si>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</si>
  <si>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</si>
  <si>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</si>
  <si>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</si>
  <si>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</si>
  <si>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</si>
  <si>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</si>
  <si>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</si>
  <si>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</si>
  <si>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</si>
  <si>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</si>
  <si>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</si>
  <si>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</si>
  <si>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</si>
  <si>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</si>
  <si>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</si>
  <si>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</si>
  <si>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</si>
  <si>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</si>
  <si>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</si>
  <si>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</si>
  <si>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</si>
  <si>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</si>
  <si>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</si>
  <si>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</si>
  <si>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</si>
  <si>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</si>
  <si>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</si>
  <si>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</si>
  <si>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</si>
  <si>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</si>
  <si>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</si>
  <si>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</si>
  <si>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</si>
  <si>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</si>
  <si>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</si>
  <si>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</si>
  <si>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</si>
  <si>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</si>
  <si>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</si>
  <si>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</si>
  <si>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</si>
  <si>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</si>
  <si>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</si>
  <si>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</si>
  <si>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</si>
  <si>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</si>
  <si>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</si>
  <si>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</si>
  <si>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</si>
  <si>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</si>
  <si>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</si>
  <si>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</si>
  <si>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</si>
  <si>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</si>
  <si>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</si>
  <si>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</si>
  <si>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</si>
  <si>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</si>
  <si>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</si>
  <si>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</si>
  <si>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</si>
  <si>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</si>
  <si>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</si>
  <si>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</si>
  <si>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</si>
  <si>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</si>
  <si>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</si>
  <si>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</si>
  <si>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</si>
  <si>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</si>
  <si>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</si>
  <si>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</si>
  <si>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</si>
  <si>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</si>
  <si>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</si>
  <si>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</si>
  <si>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</si>
  <si>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</si>
  <si>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</si>
  <si>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</si>
  <si>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</si>
  <si>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</si>
  <si>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</si>
  <si>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</si>
  <si>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</si>
  <si>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</si>
  <si>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</si>
  <si>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</si>
  <si>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</si>
  <si>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</si>
  <si>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</si>
  <si>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</si>
  <si>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</si>
  <si>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</si>
  <si>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</si>
  <si>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</si>
  <si>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</si>
  <si>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</si>
  <si>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</si>
  <si>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</si>
  <si>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</si>
  <si>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</si>
  <si>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</si>
  <si>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</si>
  <si>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</si>
  <si>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</si>
  <si>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</si>
  <si>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</si>
  <si>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</si>
  <si>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</si>
  <si>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</si>
  <si>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</si>
  <si>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</si>
  <si>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</si>
  <si>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</si>
  <si>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</si>
  <si>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</si>
  <si>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</si>
  <si>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</si>
  <si>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</si>
  <si>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</si>
  <si>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</si>
  <si>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</si>
  <si>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</si>
  <si>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</si>
  <si>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</si>
  <si>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</si>
  <si>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</si>
  <si>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</si>
  <si>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</si>
  <si>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</si>
  <si>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</si>
  <si>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</si>
  <si>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</si>
  <si>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</si>
  <si>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</si>
  <si>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</si>
  <si>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</si>
  <si>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</si>
  <si>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</si>
  <si>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</si>
  <si>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</si>
  <si>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</si>
  <si>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</si>
  <si>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</si>
  <si>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</si>
  <si>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</si>
  <si>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</si>
  <si>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</si>
  <si>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</si>
  <si>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</si>
  <si>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</si>
  <si>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</si>
  <si>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</si>
  <si>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</si>
  <si>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</si>
  <si>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</si>
  <si>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</si>
  <si>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</si>
  <si>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</si>
  <si>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</si>
  <si>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</si>
  <si>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</si>
  <si>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</si>
  <si>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</si>
  <si>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</si>
  <si>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</si>
  <si>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</si>
  <si>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</si>
  <si>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</si>
  <si>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</si>
  <si>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</si>
  <si>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</si>
  <si>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</si>
  <si>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</si>
  <si>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</si>
  <si>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</si>
  <si>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</si>
  <si>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</si>
  <si>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</si>
  <si>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</si>
  <si>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</si>
  <si>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</si>
  <si>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</si>
  <si>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</si>
  <si>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</si>
  <si>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</si>
  <si>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</si>
  <si>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</si>
  <si>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</si>
  <si>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</si>
  <si>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</si>
  <si>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</si>
  <si>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</si>
  <si>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</si>
  <si>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</si>
  <si>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</si>
  <si>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</si>
  <si>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</si>
  <si>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</si>
  <si>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</si>
  <si>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</si>
  <si>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</si>
  <si>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</si>
  <si>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</si>
  <si>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</si>
  <si>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</si>
  <si>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</si>
  <si>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</si>
  <si>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</si>
  <si>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</si>
  <si>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</si>
  <si>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</si>
  <si>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</si>
  <si>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</si>
  <si>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</si>
  <si>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</si>
  <si>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</si>
  <si>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</si>
  <si>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</si>
  <si>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</si>
  <si>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</si>
  <si>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</si>
  <si>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</si>
  <si>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</si>
  <si>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</si>
  <si>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</si>
  <si>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</si>
  <si>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</si>
  <si>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</si>
  <si>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</si>
  <si>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</si>
  <si>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</si>
  <si>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</si>
  <si>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</si>
  <si>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</si>
  <si>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</si>
  <si>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</si>
  <si>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</si>
  <si>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</si>
  <si>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</si>
  <si>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</si>
  <si>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</si>
  <si>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</si>
  <si>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</si>
  <si>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</si>
  <si>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</si>
  <si>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</si>
  <si>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</si>
  <si>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</si>
  <si>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</si>
  <si>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</si>
  <si>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</si>
  <si>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</si>
  <si>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</si>
  <si>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</si>
  <si>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</si>
  <si>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</si>
  <si>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</si>
  <si>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</si>
  <si>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</si>
  <si>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</si>
  <si>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</si>
  <si>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</si>
  <si>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</si>
  <si>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</si>
  <si>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</si>
  <si>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</si>
  <si>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</si>
  <si>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</si>
  <si>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</si>
  <si>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</si>
  <si>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</si>
  <si>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</si>
  <si>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</si>
  <si>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</si>
  <si>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</si>
  <si>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</si>
  <si>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</si>
  <si>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</si>
  <si>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</si>
  <si>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</si>
  <si>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</si>
  <si>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</si>
  <si>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</si>
  <si>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</si>
  <si>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</si>
  <si>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</si>
  <si>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</si>
  <si>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</si>
  <si>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</si>
  <si>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</si>
  <si>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</si>
  <si>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</si>
  <si>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</si>
  <si>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</si>
  <si>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</si>
  <si>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</si>
  <si>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</si>
  <si>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</si>
  <si>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</si>
  <si>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</si>
  <si>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</si>
  <si>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</si>
  <si>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</si>
  <si>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</si>
  <si>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</si>
  <si>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</si>
  <si>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</si>
  <si>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</si>
  <si>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</si>
  <si>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</si>
  <si>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</si>
  <si>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</si>
  <si>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</si>
  <si>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</si>
  <si>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</si>
  <si>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</si>
  <si>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</si>
  <si>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</si>
  <si>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</si>
  <si>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</si>
  <si>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</si>
  <si>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</si>
  <si>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</si>
  <si>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</si>
  <si>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</si>
  <si>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</si>
  <si>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</si>
  <si>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</si>
  <si>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</si>
  <si>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</si>
  <si>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</si>
  <si>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</si>
  <si>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</si>
  <si>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</si>
  <si>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</si>
  <si>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</si>
  <si>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</si>
  <si>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</si>
  <si>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</si>
  <si>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</si>
  <si>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</si>
  <si>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</si>
  <si>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</si>
  <si>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</si>
  <si>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</si>
  <si>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</si>
  <si>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</si>
  <si>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</si>
  <si>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</si>
  <si>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</si>
  <si>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</si>
  <si>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</si>
  <si>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</si>
  <si>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</si>
  <si>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</si>
  <si>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</si>
  <si>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</si>
  <si>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</si>
  <si>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</si>
  <si>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</si>
  <si>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</si>
  <si>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</si>
  <si>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</si>
  <si>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</si>
  <si>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</si>
  <si>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</si>
  <si>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</si>
  <si>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</si>
  <si>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</si>
  <si>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</si>
  <si>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</si>
  <si>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</si>
  <si>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</si>
  <si>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</si>
  <si>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</si>
  <si>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</si>
  <si>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</si>
  <si>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</si>
  <si>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</si>
  <si>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</si>
  <si>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</si>
  <si>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</si>
  <si>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</si>
  <si>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</si>
  <si>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</si>
  <si>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</si>
  <si>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</si>
  <si>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</si>
  <si>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</si>
  <si>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</si>
  <si>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</si>
  <si>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</si>
  <si>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</si>
  <si>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</si>
  <si>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</si>
  <si>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</si>
  <si>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</si>
  <si>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</si>
  <si>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</si>
  <si>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</si>
  <si>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</si>
  <si>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</si>
  <si>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</si>
  <si>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</si>
  <si>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</si>
  <si>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</si>
  <si>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</si>
  <si>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</si>
  <si>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</si>
  <si>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</si>
  <si>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</si>
  <si>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</si>
  <si>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</si>
  <si>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</si>
  <si>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</si>
  <si>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</si>
  <si>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</si>
  <si>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</si>
  <si>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</si>
  <si>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</si>
  <si>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</si>
  <si>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</si>
  <si>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</si>
  <si>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</si>
  <si>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</si>
  <si>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</si>
  <si>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</si>
  <si>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</si>
  <si>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</si>
  <si>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</si>
  <si>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</si>
  <si>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</si>
  <si>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</si>
  <si>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</si>
  <si>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</si>
  <si>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</si>
  <si>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</si>
  <si>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</si>
  <si>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</si>
  <si>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</si>
  <si>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</si>
  <si>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</si>
  <si>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</si>
  <si>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</si>
  <si>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</si>
  <si>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</si>
  <si>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</si>
  <si>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</si>
  <si>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</si>
  <si>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</si>
  <si>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</si>
  <si>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</si>
  <si>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</si>
  <si>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</si>
  <si>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</si>
  <si>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</si>
  <si>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</si>
  <si>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</si>
  <si>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</si>
  <si>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</si>
  <si>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</si>
  <si>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</si>
  <si>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</si>
  <si>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</si>
  <si>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</si>
  <si>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</si>
  <si>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</si>
  <si>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</si>
  <si>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</si>
  <si>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</si>
  <si>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</si>
  <si>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</si>
  <si>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</si>
  <si>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</si>
  <si>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</si>
  <si>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</si>
  <si>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</si>
  <si>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</si>
  <si>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</si>
  <si>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</si>
  <si>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</si>
  <si>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</si>
  <si>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</si>
  <si>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</si>
  <si>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</si>
  <si>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</si>
  <si>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</si>
  <si>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</si>
  <si>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</si>
  <si>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</si>
  <si>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</si>
  <si>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</si>
  <si>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</si>
  <si>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</si>
  <si>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</si>
  <si>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</si>
  <si>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</si>
  <si>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</si>
  <si>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</si>
  <si>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</si>
  <si>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</si>
  <si>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</si>
  <si>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</si>
  <si>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</si>
  <si>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</si>
  <si>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</si>
  <si>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</si>
  <si>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</si>
  <si>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</si>
  <si>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</si>
  <si>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</si>
  <si>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</si>
  <si>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</si>
  <si>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</si>
  <si>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</si>
  <si>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</si>
  <si>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</si>
  <si>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</si>
  <si>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</si>
  <si>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</si>
  <si>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</si>
  <si>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</si>
  <si>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</si>
  <si>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</si>
  <si>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</si>
  <si>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</si>
  <si>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</si>
  <si>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</si>
  <si>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</si>
  <si>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</si>
  <si>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</si>
  <si>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</si>
  <si>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</si>
  <si>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</si>
  <si>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</si>
  <si>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</si>
  <si>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</si>
  <si>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</si>
  <si>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</si>
  <si>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</si>
  <si>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</si>
  <si>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</si>
  <si>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</si>
  <si>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</si>
  <si>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</si>
  <si>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</si>
  <si>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</si>
  <si>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</si>
  <si>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</si>
  <si>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</si>
  <si>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</si>
  <si>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</si>
  <si>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</si>
  <si>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</si>
  <si>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</si>
  <si>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</si>
  <si>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</si>
  <si>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</si>
  <si>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</si>
  <si>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</si>
  <si>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</si>
  <si>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</si>
  <si>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</si>
  <si>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</si>
  <si>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</si>
  <si>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</si>
  <si>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</si>
  <si>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</si>
  <si>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</si>
  <si>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</si>
  <si>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</si>
  <si>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</si>
  <si>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</si>
  <si>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</si>
  <si>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</si>
  <si>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</si>
  <si>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</si>
  <si>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</si>
  <si>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</si>
  <si>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</si>
  <si>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</si>
  <si>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</si>
  <si>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</si>
  <si>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</si>
  <si>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</si>
  <si>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</si>
  <si>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</si>
  <si>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</si>
  <si>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</si>
  <si>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</si>
  <si>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</si>
  <si>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</si>
  <si>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</si>
  <si>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</si>
  <si>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</si>
  <si>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</si>
  <si>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</si>
  <si>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</si>
  <si>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</si>
  <si>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</si>
  <si>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</si>
  <si>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</si>
  <si>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</si>
  <si>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</si>
  <si>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</si>
  <si>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</si>
  <si>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</si>
  <si>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</si>
  <si>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</si>
  <si>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</si>
  <si>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</si>
  <si>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</si>
  <si>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</si>
  <si>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</si>
  <si>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</si>
  <si>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</si>
  <si>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</si>
  <si>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</si>
  <si>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</si>
  <si>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</si>
  <si>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</si>
  <si>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</si>
  <si>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</si>
  <si>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</si>
  <si>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</si>
  <si>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</si>
  <si>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</si>
  <si>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</si>
  <si>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</si>
  <si>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</si>
  <si>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</si>
  <si>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</si>
  <si>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</si>
  <si>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</si>
  <si>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</si>
  <si>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</si>
  <si>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</si>
  <si>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</si>
  <si>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</si>
  <si>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</si>
  <si>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</si>
  <si>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</si>
  <si>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</si>
  <si>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</si>
  <si>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</si>
  <si>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</si>
  <si>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</si>
  <si>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</si>
  <si>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</si>
  <si>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</si>
  <si>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</si>
  <si>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</si>
  <si>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</si>
  <si>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</si>
  <si>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</si>
  <si>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</si>
  <si>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</si>
  <si>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</si>
  <si>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</si>
  <si>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</si>
  <si>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</si>
  <si>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</si>
  <si>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</si>
  <si>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</si>
  <si>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</si>
  <si>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</si>
  <si>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</si>
  <si>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</si>
  <si>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</si>
  <si>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</si>
  <si>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</si>
  <si>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</si>
  <si>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</si>
  <si>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</si>
  <si>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</si>
  <si>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</si>
  <si>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</si>
  <si>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</si>
  <si>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</si>
  <si>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</si>
  <si>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</si>
  <si>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</si>
  <si>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</si>
  <si>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</si>
  <si>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</si>
  <si>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</si>
  <si>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</si>
  <si>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</si>
  <si>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</si>
  <si>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</si>
  <si>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</si>
  <si>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</si>
  <si>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</si>
  <si>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</si>
  <si>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</si>
  <si>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</si>
  <si>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</si>
  <si>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</si>
  <si>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</si>
  <si>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</si>
  <si>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</si>
  <si>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</si>
  <si>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</si>
  <si>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</si>
  <si>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</si>
  <si>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</si>
  <si>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</si>
  <si>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</si>
  <si>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</si>
  <si>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</si>
  <si>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</si>
  <si>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</si>
  <si>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</si>
  <si>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</si>
  <si>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</si>
  <si>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</si>
  <si>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</si>
  <si>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</si>
  <si>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</si>
  <si>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</si>
  <si>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</si>
  <si>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</si>
  <si>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</si>
  <si>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</si>
  <si>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</si>
  <si>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</si>
  <si>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</si>
  <si>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</si>
  <si>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</si>
  <si>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</si>
  <si>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</si>
  <si>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</si>
  <si>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</si>
  <si>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</si>
  <si>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</si>
  <si>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</si>
  <si>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</si>
  <si>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</si>
  <si>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</si>
  <si>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</si>
  <si>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</si>
  <si>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</si>
  <si>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</si>
  <si>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</si>
  <si>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</si>
  <si>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</si>
  <si>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</si>
  <si>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</si>
  <si>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</si>
  <si>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</si>
  <si>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</si>
  <si>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</si>
  <si>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</si>
  <si>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</si>
  <si>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</si>
  <si>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</si>
  <si>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</si>
  <si>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</si>
  <si>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</si>
  <si>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</si>
  <si>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</si>
  <si>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</si>
  <si>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</si>
  <si>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</si>
  <si>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</si>
  <si>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</si>
  <si>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</si>
  <si>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</si>
  <si>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</si>
  <si>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</si>
  <si>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</si>
  <si>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</si>
  <si>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</si>
  <si>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</si>
  <si>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</si>
  <si>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</si>
  <si>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</si>
  <si>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</si>
  <si>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</si>
  <si>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</si>
  <si>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</si>
  <si>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</si>
  <si>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</si>
  <si>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</si>
  <si>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</si>
  <si>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</si>
  <si>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</si>
  <si>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</si>
  <si>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</si>
  <si>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</si>
  <si>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</si>
  <si>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</si>
  <si>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</si>
  <si>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</si>
  <si>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</si>
  <si>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</si>
  <si>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</si>
  <si>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</si>
  <si>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</si>
  <si>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</si>
  <si>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</si>
  <si>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</si>
  <si>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</si>
  <si>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</si>
  <si>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</si>
  <si>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</si>
  <si>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</si>
  <si>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</si>
  <si>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</si>
  <si>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</si>
  <si>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</si>
  <si>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</si>
  <si>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</si>
  <si>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</si>
  <si>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</si>
  <si>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</si>
  <si>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</si>
  <si>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</si>
  <si>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</si>
  <si>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</si>
  <si>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</si>
  <si>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</si>
  <si>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</si>
  <si>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</si>
  <si>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</si>
  <si>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</si>
  <si>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</si>
  <si>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</si>
  <si>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</si>
  <si>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</si>
  <si>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</si>
  <si>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</si>
  <si>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</si>
  <si>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</si>
  <si>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</si>
  <si>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</si>
  <si>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</si>
  <si>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</si>
  <si>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</si>
  <si>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</si>
  <si>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</si>
  <si>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</si>
  <si>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</si>
  <si>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</si>
  <si>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</si>
  <si>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</si>
  <si>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</si>
  <si>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</si>
  <si>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</si>
  <si>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</si>
  <si>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</si>
  <si>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</si>
  <si>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</si>
  <si>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</si>
  <si>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</si>
  <si>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</si>
  <si>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</si>
  <si>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</si>
  <si>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</si>
  <si>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</si>
  <si>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</si>
  <si>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</si>
  <si>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</si>
  <si>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</si>
  <si>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</si>
  <si>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</si>
  <si>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</si>
  <si>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</si>
  <si>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</si>
  <si>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</si>
  <si>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</si>
  <si>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</si>
  <si>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</si>
  <si>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</si>
  <si>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</si>
  <si>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</si>
  <si>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</si>
  <si>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</si>
  <si>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</si>
  <si>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</si>
  <si>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</si>
  <si>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</si>
  <si>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</si>
  <si>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</si>
  <si>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</si>
  <si>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</si>
  <si>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</si>
  <si>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</si>
  <si>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</si>
  <si>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</si>
  <si>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</si>
  <si>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</si>
  <si>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</si>
  <si>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</si>
  <si>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</si>
  <si>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</si>
  <si>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</si>
  <si>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</si>
  <si>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</si>
  <si>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</si>
  <si>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</si>
  <si>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</si>
  <si>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</si>
  <si>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</si>
  <si>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</si>
  <si>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</si>
  <si>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</si>
  <si>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</si>
  <si>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</si>
  <si>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</si>
  <si>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</si>
  <si>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</si>
  <si>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</si>
  <si>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</si>
  <si>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</si>
  <si>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</si>
  <si>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</si>
  <si>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</si>
  <si>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</si>
  <si>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</si>
  <si>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</si>
  <si>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</si>
  <si>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</si>
  <si>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</si>
  <si>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</si>
  <si>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</si>
  <si>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</si>
  <si>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</si>
  <si>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</si>
  <si>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</si>
  <si>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</si>
  <si>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</si>
  <si>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</si>
  <si>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</si>
  <si>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</si>
  <si>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</si>
  <si>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</si>
  <si>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</si>
  <si>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</si>
  <si>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</si>
  <si>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</si>
  <si>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</si>
  <si>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</si>
  <si>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</si>
  <si>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</si>
  <si>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</si>
  <si>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</si>
  <si>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</si>
  <si>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</si>
  <si>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</si>
  <si>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</si>
  <si>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</si>
  <si>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</si>
  <si>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</si>
  <si>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</si>
  <si>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</si>
  <si>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</si>
  <si>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</si>
  <si>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</si>
  <si>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</si>
  <si>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</si>
  <si>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</si>
  <si>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</si>
  <si>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</si>
  <si>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</si>
  <si>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</si>
  <si>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</si>
  <si>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</si>
  <si>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</si>
  <si>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</si>
  <si>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</si>
  <si>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</si>
  <si>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</si>
  <si>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</si>
  <si>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</si>
  <si>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</si>
  <si>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</si>
  <si>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</si>
  <si>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</si>
  <si>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</si>
  <si>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</si>
  <si>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</si>
  <si>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</si>
  <si>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</si>
  <si>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</si>
  <si>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</si>
  <si>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</si>
  <si>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</si>
  <si>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</si>
  <si>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</si>
  <si>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</si>
  <si>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</si>
  <si>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</si>
  <si>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</si>
  <si>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</si>
  <si>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</si>
  <si>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</si>
  <si>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</si>
  <si>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</si>
  <si>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</si>
  <si>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</si>
  <si>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</si>
  <si>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</si>
  <si>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</si>
  <si>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</si>
  <si>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</si>
  <si>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</si>
  <si>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</si>
  <si>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</si>
  <si>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</si>
  <si>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</si>
  <si>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</si>
  <si>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</si>
  <si>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</si>
  <si>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</si>
  <si>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</si>
  <si>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</si>
  <si>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</si>
  <si>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</si>
  <si>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</si>
  <si>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</si>
  <si>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</si>
  <si>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</si>
  <si>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</si>
  <si>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</si>
  <si>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</si>
  <si>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</si>
  <si>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</si>
  <si>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</si>
  <si>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</si>
  <si>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</si>
  <si>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</si>
  <si>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</si>
  <si>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</si>
  <si>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</si>
  <si>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</si>
  <si>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</si>
  <si>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</si>
  <si>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</si>
  <si>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</si>
  <si>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</si>
  <si>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</si>
  <si>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</si>
  <si>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</si>
  <si>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</si>
  <si>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</si>
  <si>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</si>
  <si>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</si>
  <si>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</si>
  <si>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</si>
  <si>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</si>
  <si>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</si>
  <si>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</si>
  <si>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</si>
  <si>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</si>
  <si>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</si>
  <si>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</si>
  <si>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</si>
  <si>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</si>
  <si>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</si>
  <si>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</si>
  <si>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</si>
  <si>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</si>
  <si>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</si>
  <si>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</si>
  <si>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</si>
  <si>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</si>
  <si>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</si>
  <si>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</si>
  <si>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</si>
  <si>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</si>
  <si>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</si>
  <si>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</si>
  <si>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</si>
  <si>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</si>
  <si>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</si>
  <si>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</si>
  <si>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</si>
  <si>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</si>
  <si>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</si>
  <si>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</si>
  <si>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</si>
  <si>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</si>
  <si>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</si>
  <si>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</si>
  <si>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</si>
  <si>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</si>
  <si>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</si>
  <si>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</si>
  <si>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</si>
  <si>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</si>
  <si>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</si>
  <si>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</si>
  <si>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</si>
  <si>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</si>
  <si>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</si>
  <si>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</si>
  <si>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</si>
  <si>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</si>
  <si>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</si>
  <si>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</si>
  <si>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</si>
  <si>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</si>
  <si>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</si>
  <si>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</si>
  <si>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</si>
  <si>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</si>
  <si>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</si>
  <si>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</si>
  <si>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</si>
  <si>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</si>
  <si>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</si>
  <si>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</si>
  <si>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</si>
  <si>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</si>
  <si>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</si>
  <si>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</si>
  <si>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</si>
  <si>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</si>
  <si>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</si>
  <si>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</si>
  <si>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</si>
  <si>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</si>
  <si>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</si>
  <si>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</si>
  <si>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</si>
  <si>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</si>
  <si>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</si>
  <si>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</si>
  <si>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</si>
  <si>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</si>
  <si>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</si>
  <si>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</si>
  <si>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</si>
  <si>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</si>
  <si>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</si>
  <si>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</si>
  <si>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</si>
  <si>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</si>
  <si>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</si>
  <si>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</si>
  <si>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</si>
  <si>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</si>
  <si>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</si>
  <si>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</si>
  <si>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</si>
  <si>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</si>
  <si>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</si>
  <si>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</si>
  <si>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</si>
  <si>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</si>
  <si>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</si>
  <si>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</si>
  <si>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</si>
  <si>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</si>
  <si>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</si>
  <si>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</si>
  <si>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</si>
  <si>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</si>
  <si>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</si>
  <si>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</si>
  <si>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</si>
  <si>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</si>
  <si>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</si>
  <si>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</si>
  <si>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</si>
  <si>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</si>
  <si>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</si>
  <si>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</si>
  <si>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</si>
  <si>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</si>
  <si>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</si>
  <si>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</si>
  <si>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</si>
  <si>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</si>
  <si>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</si>
  <si>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</si>
  <si>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</si>
  <si>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</si>
  <si>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</si>
  <si>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</si>
  <si>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</si>
  <si>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</si>
  <si>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</si>
  <si>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</si>
  <si>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</si>
  <si>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</si>
  <si>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</si>
  <si>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</si>
  <si>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</si>
  <si>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</si>
  <si>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</si>
  <si>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</si>
  <si>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</si>
  <si>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</si>
  <si>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</si>
  <si>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</si>
  <si>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</si>
  <si>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</si>
  <si>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</si>
  <si>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</si>
  <si>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</si>
  <si>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</si>
  <si>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</si>
  <si>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</si>
  <si>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</si>
  <si>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</si>
  <si>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</si>
  <si>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</si>
  <si>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</si>
  <si>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</si>
  <si>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</si>
  <si>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</si>
  <si>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</si>
  <si>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</si>
  <si>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</si>
  <si>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</si>
  <si>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</si>
  <si>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</si>
  <si>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</si>
  <si>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</si>
  <si>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</si>
  <si>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</si>
  <si>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</si>
  <si>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</si>
  <si>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</si>
  <si>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</si>
  <si>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</si>
  <si>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</si>
  <si>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</si>
  <si>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</si>
  <si>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</si>
  <si>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</si>
  <si>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</si>
  <si>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</si>
  <si>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</si>
  <si>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</si>
  <si>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</si>
  <si>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</si>
  <si>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</si>
  <si>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</si>
  <si>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</si>
  <si>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</si>
  <si>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</si>
  <si>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</si>
  <si>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</si>
  <si>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</si>
  <si>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</si>
  <si>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</si>
  <si>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</si>
  <si>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</si>
  <si>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</si>
  <si>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</si>
  <si>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</si>
  <si>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</si>
  <si>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</si>
  <si>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</si>
  <si>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</si>
  <si>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</si>
  <si>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</si>
  <si>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</si>
  <si>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</si>
  <si>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</si>
  <si>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</si>
  <si>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</si>
  <si>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</si>
  <si>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</si>
  <si>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</si>
  <si>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</si>
  <si>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</si>
  <si>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</si>
  <si>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</si>
  <si>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</si>
  <si>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</si>
  <si>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</si>
  <si>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</si>
  <si>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</si>
  <si>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</si>
  <si>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</si>
  <si>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</si>
  <si>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</si>
  <si>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</si>
  <si>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</si>
  <si>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</si>
  <si>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</si>
  <si>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</si>
  <si>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</si>
  <si>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</si>
  <si>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</si>
  <si>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</si>
  <si>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</si>
  <si>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</si>
  <si>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</si>
  <si>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</si>
  <si>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</si>
  <si>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</si>
  <si>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</si>
  <si>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</si>
  <si>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</si>
  <si>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</si>
  <si>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</si>
  <si>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</si>
  <si>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</si>
  <si>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</si>
  <si>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</si>
  <si>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</si>
  <si>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</si>
  <si>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</si>
  <si>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</si>
  <si>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</si>
  <si>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</si>
  <si>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</si>
  <si>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</si>
  <si>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</si>
  <si>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</si>
  <si>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</si>
  <si>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</si>
  <si>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</si>
  <si>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</si>
  <si>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</si>
  <si>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</si>
  <si>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</si>
  <si>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</si>
  <si>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</si>
  <si>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</si>
  <si>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</si>
  <si>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</si>
  <si>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</si>
  <si>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</si>
  <si>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</si>
  <si>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</si>
  <si>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</si>
  <si>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</si>
  <si>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</si>
  <si>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</si>
  <si>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</si>
  <si>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</si>
  <si>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</si>
  <si>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</si>
  <si>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</si>
  <si>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</si>
  <si>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</si>
  <si>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</si>
  <si>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</si>
  <si>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</si>
  <si>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</si>
  <si>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</si>
  <si>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</si>
  <si>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</si>
  <si>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</si>
  <si>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</si>
  <si>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</si>
  <si>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</si>
  <si>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</si>
  <si>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</si>
  <si>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</si>
  <si>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</si>
  <si>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</si>
  <si>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</si>
  <si>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</si>
  <si>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</si>
  <si>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</si>
  <si>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</si>
  <si>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</si>
  <si>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</si>
  <si>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</si>
  <si>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</si>
  <si>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</si>
  <si>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</si>
  <si>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</si>
  <si>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</si>
  <si>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</si>
  <si>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</si>
  <si>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</si>
  <si>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</si>
  <si>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</si>
  <si>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</si>
  <si>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</si>
  <si>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</si>
  <si>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</si>
  <si>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</si>
  <si>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</si>
  <si>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</si>
  <si>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</si>
  <si>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</si>
  <si>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</si>
  <si>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</si>
  <si>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</si>
  <si>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</si>
  <si>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</si>
  <si>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</si>
  <si>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</si>
  <si>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</si>
  <si>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</si>
  <si>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</si>
  <si>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</si>
  <si>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</si>
  <si>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</si>
  <si>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</si>
  <si>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</si>
  <si>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</si>
  <si>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</si>
  <si>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</si>
  <si>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</si>
  <si>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</si>
  <si>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</si>
  <si>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</si>
  <si>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</si>
  <si>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</si>
  <si>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</si>
  <si>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</si>
  <si>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</si>
  <si>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</si>
  <si>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</si>
  <si>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</si>
  <si>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</si>
  <si>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</si>
  <si>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</si>
  <si>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</si>
  <si>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</si>
  <si>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</si>
  <si>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</si>
  <si>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</si>
  <si>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</si>
  <si>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</si>
  <si>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</si>
  <si>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</si>
  <si>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</si>
  <si>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</si>
  <si>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</si>
  <si>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</si>
  <si>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</si>
  <si>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</si>
  <si>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</si>
  <si>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</si>
  <si>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</si>
  <si>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</si>
  <si>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</si>
  <si>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</si>
  <si>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</si>
  <si>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</si>
  <si>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</si>
  <si>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</si>
  <si>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</si>
  <si>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</si>
  <si>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</si>
  <si>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</si>
  <si>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</si>
  <si>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</si>
  <si>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</si>
  <si>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</si>
  <si>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</si>
  <si>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</si>
  <si>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</si>
  <si>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</si>
  <si>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</si>
  <si>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</si>
  <si>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</si>
  <si>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</si>
  <si>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</si>
  <si>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</si>
  <si>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</si>
  <si>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</si>
  <si>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</si>
  <si>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</si>
  <si>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</si>
  <si>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</si>
  <si>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</si>
  <si>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</si>
  <si>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</si>
  <si>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</si>
  <si>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</si>
  <si>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</si>
  <si>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</si>
  <si>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</si>
  <si>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</si>
  <si>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</si>
  <si>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</si>
  <si>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</si>
  <si>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</si>
  <si>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</si>
  <si>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</si>
  <si>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</si>
  <si>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</si>
  <si>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</si>
  <si>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</si>
  <si>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</si>
  <si>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</si>
  <si>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</si>
  <si>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</si>
  <si>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</si>
  <si>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</si>
  <si>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</si>
  <si>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</si>
  <si>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</si>
  <si>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</si>
  <si>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</si>
  <si>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</si>
  <si>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</si>
  <si>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</si>
  <si>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</si>
  <si>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</si>
  <si>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</si>
  <si>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</si>
  <si>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</si>
  <si>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</si>
  <si>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</si>
  <si>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</si>
  <si>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</si>
  <si>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</si>
  <si>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</si>
  <si>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</si>
  <si>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</si>
  <si>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</si>
  <si>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</si>
  <si>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</si>
  <si>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</si>
  <si>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</si>
  <si>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</si>
  <si>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</si>
  <si>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</si>
  <si>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</si>
  <si>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</si>
  <si>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</si>
  <si>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</si>
  <si>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</si>
  <si>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</si>
  <si>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</si>
  <si>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</si>
  <si>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</si>
  <si>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</si>
  <si>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</si>
  <si>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</si>
  <si>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</si>
  <si>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</si>
  <si>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</si>
  <si>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</si>
  <si>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</si>
  <si>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</si>
  <si>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</si>
  <si>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</si>
  <si>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</si>
  <si>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</si>
  <si>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</si>
  <si>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</si>
  <si>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</si>
  <si>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</si>
  <si>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</si>
  <si>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</si>
  <si>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</si>
  <si>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</si>
  <si>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</si>
  <si>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</si>
  <si>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</si>
  <si>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</si>
  <si>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</si>
  <si>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</si>
  <si>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</si>
  <si>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</si>
  <si>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</si>
  <si>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</si>
  <si>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</si>
  <si>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</si>
  <si>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</si>
  <si>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</si>
  <si>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</si>
  <si>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</si>
  <si>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</si>
  <si>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</si>
  <si>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</si>
  <si>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</si>
  <si>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</si>
  <si>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</si>
  <si>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</si>
  <si>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</si>
  <si>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</si>
  <si>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</si>
  <si>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</si>
  <si>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</si>
  <si>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</si>
  <si>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</si>
  <si>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</si>
  <si>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</si>
  <si>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</si>
  <si>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</si>
  <si>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</si>
  <si>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</si>
  <si>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</si>
  <si>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</si>
  <si>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</si>
  <si>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</si>
  <si>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</si>
  <si>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</si>
  <si>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</si>
  <si>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</si>
  <si>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</si>
  <si>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</si>
  <si>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</si>
  <si>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</si>
  <si>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</si>
  <si>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</si>
  <si>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</si>
  <si>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</si>
  <si>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</si>
  <si>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</si>
  <si>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</si>
  <si>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</si>
  <si>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</si>
  <si>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</si>
  <si>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</si>
  <si>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</si>
  <si>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</si>
  <si>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</si>
  <si>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</si>
  <si>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</si>
  <si>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</si>
  <si>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</si>
  <si>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</si>
  <si>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</si>
  <si>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</si>
  <si>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</si>
  <si>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</si>
  <si>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</si>
  <si>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</si>
  <si>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</si>
  <si>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</si>
  <si>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</si>
  <si>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</si>
  <si>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</si>
  <si>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</si>
  <si>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</si>
  <si>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</si>
  <si>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</si>
  <si>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</si>
  <si>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</si>
  <si>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</si>
  <si>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</si>
  <si>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</si>
  <si>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</si>
  <si>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</si>
  <si>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</si>
  <si>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</si>
  <si>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</si>
  <si>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</si>
  <si>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</si>
  <si>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</si>
  <si>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</si>
  <si>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</si>
  <si>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</si>
  <si>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</si>
  <si>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</si>
  <si>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</si>
  <si>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</si>
  <si>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</si>
  <si>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</si>
  <si>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</si>
  <si>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</si>
  <si>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</si>
  <si>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</si>
  <si>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</si>
  <si>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</si>
  <si>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</si>
  <si>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</si>
  <si>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</si>
  <si>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</si>
  <si>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</si>
  <si>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</si>
  <si>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</si>
  <si>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</si>
  <si>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</si>
  <si>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</si>
  <si>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</si>
  <si>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</si>
  <si>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</si>
  <si>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</si>
  <si>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</si>
  <si>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</si>
  <si>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</si>
  <si>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</si>
  <si>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</si>
  <si>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</si>
  <si>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</si>
  <si>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</si>
  <si>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</si>
  <si>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</si>
  <si>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</si>
  <si>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</si>
  <si>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</si>
  <si>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</si>
  <si>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</si>
  <si>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</si>
  <si>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</si>
  <si>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</si>
  <si>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</si>
  <si>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</si>
  <si>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</si>
  <si>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</si>
  <si>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</si>
  <si>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</si>
  <si>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</si>
  <si>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</si>
  <si>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</si>
  <si>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</si>
  <si>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</si>
  <si>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</si>
  <si>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</si>
  <si>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</si>
  <si>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</si>
  <si>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</si>
  <si>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</si>
  <si>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</si>
  <si>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</si>
  <si>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</si>
  <si>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</si>
  <si>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</si>
  <si>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</si>
  <si>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</si>
  <si>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</si>
  <si>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</si>
  <si>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</si>
  <si>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</si>
  <si>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</si>
  <si>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</si>
  <si>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</si>
  <si>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</si>
  <si>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</si>
  <si>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</si>
  <si>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</si>
  <si>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</si>
  <si>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</si>
  <si>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</si>
  <si>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</si>
  <si>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</si>
  <si>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</si>
  <si>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</si>
  <si>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</si>
  <si>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</si>
  <si>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</si>
  <si>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</si>
  <si>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</si>
  <si>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</si>
  <si>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</si>
  <si>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</si>
  <si>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</si>
  <si>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</si>
  <si>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</si>
  <si>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</si>
  <si>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</si>
  <si>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</si>
  <si>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</si>
  <si>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</si>
  <si>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</si>
  <si>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</si>
  <si>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</si>
  <si>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</si>
  <si>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</si>
  <si>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</si>
  <si>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</si>
  <si>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</si>
  <si>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</si>
  <si>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</si>
  <si>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</si>
  <si>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</si>
  <si>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</si>
  <si>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</si>
  <si>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</si>
  <si>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</si>
  <si>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</si>
  <si>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</si>
  <si>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</si>
  <si>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</si>
  <si>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</si>
  <si>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</si>
  <si>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</si>
  <si>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</si>
  <si>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</si>
  <si>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</si>
  <si>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</si>
  <si>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</si>
  <si>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</si>
  <si>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</si>
  <si>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</si>
  <si>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</si>
  <si>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</si>
  <si>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</si>
  <si>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</si>
  <si>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</si>
  <si>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</si>
  <si>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</si>
  <si>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</si>
  <si>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</si>
  <si>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</si>
  <si>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</si>
  <si>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</si>
  <si>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</si>
  <si>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</si>
  <si>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</si>
  <si>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</si>
  <si>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</si>
  <si>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</si>
  <si>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</si>
  <si>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</si>
  <si>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</si>
  <si>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</si>
  <si>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</si>
  <si>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</si>
  <si>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</si>
  <si>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</si>
  <si>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</si>
  <si>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</si>
  <si>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</si>
  <si>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</si>
  <si>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</si>
  <si>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</si>
  <si>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</si>
  <si>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</si>
  <si>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</si>
  <si>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</si>
  <si>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</si>
  <si>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</si>
  <si>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</si>
  <si>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</si>
  <si>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</si>
  <si>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</si>
  <si>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</si>
  <si>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</si>
  <si>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</si>
  <si>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</si>
  <si>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</si>
  <si>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</si>
  <si>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</si>
  <si>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</si>
  <si>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</si>
  <si>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</si>
  <si>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</si>
  <si>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</si>
  <si>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</si>
  <si>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</si>
  <si>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</si>
  <si>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</si>
  <si>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</si>
  <si>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</si>
  <si>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</si>
  <si>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</si>
  <si>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</si>
  <si>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</si>
  <si>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</si>
  <si>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</si>
  <si>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</si>
  <si>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</si>
  <si>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</si>
  <si>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</si>
  <si>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</si>
  <si>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</si>
  <si>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</si>
  <si>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</si>
  <si>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</si>
  <si>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</si>
  <si>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</si>
  <si>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</si>
  <si>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</si>
  <si>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</si>
  <si>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</si>
  <si>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</si>
  <si>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</si>
  <si>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</si>
  <si>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</si>
  <si>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</si>
  <si>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</si>
  <si>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</si>
  <si>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</si>
  <si>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</si>
  <si>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</si>
  <si>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</si>
  <si>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</si>
  <si>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</si>
  <si>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</si>
  <si>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</si>
  <si>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</si>
  <si>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</si>
  <si>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</si>
  <si>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</si>
  <si>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</si>
  <si>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</si>
  <si>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</si>
  <si>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</si>
  <si>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</si>
  <si>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</si>
  <si>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</si>
  <si>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</si>
  <si>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</si>
  <si>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</si>
  <si>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</si>
  <si>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</si>
  <si>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</si>
  <si>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</si>
  <si>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</si>
  <si>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</si>
  <si>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</si>
  <si>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</si>
  <si>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</si>
  <si>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</si>
  <si>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</si>
  <si>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</si>
  <si>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</si>
  <si>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</si>
  <si>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</si>
  <si>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</si>
  <si>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</si>
  <si>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</si>
  <si>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</si>
  <si>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</si>
  <si>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</si>
  <si>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</si>
  <si>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</si>
  <si>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</si>
  <si>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</si>
  <si>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</si>
  <si>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</si>
  <si>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</si>
  <si>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</si>
  <si>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</si>
  <si>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</si>
  <si>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</si>
  <si>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</si>
  <si>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</si>
  <si>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</si>
  <si>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</si>
  <si>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</si>
  <si>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</si>
  <si>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</si>
  <si>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</si>
  <si>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</si>
  <si>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</si>
  <si>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</si>
  <si>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</si>
  <si>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</si>
  <si>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</si>
  <si>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</si>
  <si>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</si>
  <si>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</si>
  <si>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</si>
  <si>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</si>
  <si>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</si>
  <si>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</si>
  <si>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</si>
  <si>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</si>
  <si>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</si>
  <si>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</si>
  <si>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</si>
  <si>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</si>
  <si>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</si>
  <si>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</si>
  <si>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</si>
  <si>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</si>
  <si>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</si>
  <si>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</si>
  <si>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</si>
  <si>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</si>
  <si>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</si>
  <si>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</si>
  <si>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</si>
  <si>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</si>
  <si>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</si>
  <si>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</si>
  <si>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</si>
  <si>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</si>
  <si>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</si>
  <si>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</si>
  <si>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</si>
  <si>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</si>
  <si>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</si>
  <si>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</si>
  <si>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</si>
  <si>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</si>
  <si>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</si>
  <si>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</si>
  <si>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</si>
  <si>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</si>
  <si>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</si>
  <si>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</si>
  <si>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</si>
  <si>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</si>
  <si>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</si>
  <si>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</si>
  <si>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</si>
  <si>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</si>
  <si>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</si>
  <si>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</si>
  <si>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</si>
  <si>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</si>
  <si>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</si>
  <si>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</si>
  <si>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</si>
  <si>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</si>
  <si>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</si>
  <si>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</si>
  <si>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</si>
  <si>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</si>
  <si>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</si>
  <si>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</si>
  <si>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</si>
  <si>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</si>
  <si>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</si>
  <si>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</si>
  <si>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</si>
  <si>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</si>
  <si>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</si>
  <si>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</si>
  <si>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</si>
  <si>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</si>
  <si>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</si>
  <si>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</si>
  <si>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</si>
  <si>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</si>
  <si>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</si>
  <si>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</si>
  <si>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</si>
  <si>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</si>
  <si>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</si>
  <si>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</si>
  <si>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</si>
  <si>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</si>
  <si>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</si>
  <si>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</si>
  <si>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</si>
  <si>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</si>
  <si>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</si>
  <si>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</si>
  <si>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</si>
  <si>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</si>
  <si>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</si>
  <si>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</si>
  <si>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</si>
  <si>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</si>
  <si>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</si>
  <si>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</si>
  <si>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</si>
  <si>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</si>
  <si>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</si>
  <si>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</si>
  <si>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</si>
  <si>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</si>
  <si>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</si>
  <si>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</si>
  <si>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</si>
  <si>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</si>
  <si>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</si>
  <si>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</si>
  <si>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</si>
  <si>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</si>
  <si>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</si>
  <si>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</si>
  <si>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</si>
  <si>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</si>
  <si>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</si>
  <si>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</si>
  <si>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</si>
  <si>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</si>
  <si>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</si>
  <si>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</si>
  <si>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</si>
  <si>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</si>
  <si>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</si>
  <si>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</si>
  <si>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</si>
  <si>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</si>
  <si>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</si>
  <si>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</si>
  <si>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</si>
  <si>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</si>
  <si>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</si>
  <si>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</si>
  <si>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</si>
  <si>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</si>
  <si>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</si>
  <si>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</si>
  <si>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</si>
  <si>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</si>
  <si>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</si>
  <si>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</si>
  <si>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</si>
  <si>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</si>
  <si>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</si>
  <si>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</si>
  <si>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</si>
  <si>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</si>
  <si>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</si>
  <si>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</si>
  <si>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</si>
  <si>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</si>
  <si>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</si>
  <si>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</si>
  <si>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</si>
  <si>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</si>
  <si>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</si>
  <si>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</si>
  <si>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</si>
  <si>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</si>
  <si>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</si>
  <si>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</si>
  <si>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</si>
  <si>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</si>
  <si>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</si>
  <si>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</si>
  <si>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</si>
  <si>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</si>
  <si>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</si>
  <si>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</si>
  <si>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</si>
  <si>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</si>
  <si>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</si>
  <si>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</si>
  <si>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</si>
  <si>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</si>
  <si>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</si>
  <si>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</si>
  <si>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</si>
  <si>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</si>
  <si>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</si>
  <si>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</si>
  <si>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</si>
  <si>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</si>
  <si>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</si>
  <si>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</si>
  <si>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</si>
  <si>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</si>
  <si>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</si>
  <si>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</si>
  <si>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</si>
  <si>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</si>
  <si>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</si>
  <si>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</si>
  <si>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</si>
  <si>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</si>
  <si>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</si>
  <si>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</si>
  <si>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</si>
  <si>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</si>
  <si>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</si>
  <si>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</si>
  <si>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</si>
  <si>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</si>
  <si>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</si>
  <si>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</si>
  <si>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</si>
  <si>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</si>
  <si>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</si>
  <si>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</si>
  <si>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</si>
  <si>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</si>
  <si>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</si>
  <si>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</si>
  <si>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</si>
  <si>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</si>
  <si>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</si>
  <si>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</si>
  <si>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</si>
  <si>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</si>
  <si>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</si>
  <si>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</si>
  <si>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</si>
  <si>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</si>
  <si>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</si>
  <si>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</si>
  <si>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</si>
  <si>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</si>
  <si>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</si>
  <si>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</si>
  <si>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</si>
  <si>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</si>
  <si>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</si>
  <si>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</si>
  <si>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</si>
  <si>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</si>
  <si>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</si>
  <si>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</si>
  <si>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</si>
  <si>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</si>
  <si>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</si>
  <si>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</si>
  <si>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</si>
  <si>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</si>
  <si>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</si>
  <si>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</si>
  <si>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</si>
  <si>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</si>
  <si>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</si>
  <si>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</si>
  <si>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</si>
  <si>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</si>
  <si>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</si>
  <si>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</si>
  <si>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</si>
  <si>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</si>
  <si>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</si>
  <si>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</si>
  <si>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</si>
  <si>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</si>
  <si>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</si>
  <si>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</si>
  <si>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</si>
  <si>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</si>
  <si>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</si>
  <si>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</si>
  <si>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</si>
  <si>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</si>
  <si>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</si>
  <si>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</si>
  <si>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</si>
  <si>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</si>
  <si>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</si>
  <si>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</si>
  <si>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</si>
  <si>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</si>
  <si>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</si>
  <si>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</si>
  <si>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</si>
  <si>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</si>
  <si>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</si>
  <si>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</si>
  <si>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</si>
  <si>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</si>
  <si>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</si>
  <si>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</si>
  <si>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</si>
  <si>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</si>
  <si>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</si>
  <si>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</si>
  <si>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</si>
  <si>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</si>
  <si>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</si>
  <si>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</si>
  <si>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</si>
  <si>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</si>
  <si>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</si>
  <si>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</si>
  <si>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</si>
  <si>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</si>
  <si>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</si>
  <si>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</si>
  <si>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</si>
  <si>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</si>
  <si>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</si>
  <si>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</si>
  <si>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</si>
  <si>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</si>
  <si>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</si>
  <si>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</si>
  <si>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</si>
  <si>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</si>
  <si>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</si>
  <si>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</si>
  <si>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</si>
  <si>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</si>
  <si>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</si>
  <si>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</si>
  <si>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</si>
  <si>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</si>
  <si>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</si>
  <si>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</si>
  <si>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</si>
  <si>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</si>
  <si>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</si>
  <si>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</si>
  <si>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</si>
  <si>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</si>
  <si>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</si>
  <si>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</si>
  <si>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</si>
  <si>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</si>
  <si>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</si>
  <si>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</si>
  <si>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</si>
  <si>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</si>
  <si>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</si>
  <si>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</si>
  <si>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</si>
  <si>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</si>
  <si>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</si>
  <si>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</si>
  <si>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</si>
  <si>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</si>
  <si>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</si>
  <si>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</si>
  <si>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</si>
  <si>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</si>
  <si>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</si>
  <si>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</si>
  <si>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</si>
  <si>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</si>
  <si>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</si>
  <si>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</si>
  <si>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</si>
  <si>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</si>
  <si>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</si>
  <si>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</si>
  <si>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</si>
  <si>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</si>
  <si>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</si>
  <si>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</si>
  <si>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</si>
  <si>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</si>
  <si>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</si>
  <si>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</si>
  <si>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</si>
  <si>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</si>
  <si>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</si>
  <si>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</si>
  <si>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</si>
  <si>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</si>
  <si>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</si>
  <si>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</si>
  <si>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</si>
  <si>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</si>
  <si>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</si>
  <si>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</si>
  <si>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</si>
  <si>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</si>
  <si>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</si>
  <si>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</si>
  <si>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</si>
  <si>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</si>
  <si>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</si>
  <si>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</si>
  <si>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</si>
  <si>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</si>
  <si>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</si>
  <si>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</si>
  <si>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</si>
  <si>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</si>
  <si>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</si>
  <si>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</si>
  <si>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</si>
  <si>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</si>
  <si>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</si>
  <si>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</si>
  <si>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</si>
  <si>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</si>
  <si>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</si>
  <si>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</si>
  <si>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</si>
  <si>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</si>
  <si>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</si>
  <si>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</si>
  <si>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</si>
  <si>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</si>
  <si>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</si>
  <si>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</si>
  <si>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</si>
  <si>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</si>
  <si>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</si>
  <si>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</si>
  <si>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</si>
  <si>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</si>
  <si>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</si>
  <si>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</si>
  <si>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</si>
  <si>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</si>
  <si>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</si>
  <si>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</si>
  <si>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</si>
  <si>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</si>
  <si>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</si>
  <si>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</si>
  <si>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</si>
  <si>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</si>
  <si>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</si>
  <si>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</si>
  <si>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</si>
  <si>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</si>
  <si>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</si>
  <si>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</si>
  <si>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</si>
  <si>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</si>
  <si>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</si>
  <si>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</si>
  <si>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</si>
  <si>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</si>
  <si>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</si>
  <si>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</si>
  <si>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</si>
  <si>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</si>
  <si>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</si>
  <si>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</si>
  <si>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</si>
  <si>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</si>
  <si>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</si>
  <si>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</si>
  <si>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</si>
  <si>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</si>
  <si>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</si>
  <si>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</si>
  <si>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</si>
  <si>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</si>
  <si>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</si>
  <si>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</si>
  <si>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</si>
  <si>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</si>
  <si>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</si>
  <si>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</si>
  <si>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</si>
  <si>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</si>
  <si>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</si>
  <si>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</si>
  <si>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</si>
  <si>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</si>
  <si>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</si>
  <si>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</si>
  <si>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</si>
  <si>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</si>
  <si>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</si>
  <si>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</si>
  <si>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</si>
  <si>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</si>
  <si>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</si>
  <si>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</si>
  <si>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</si>
  <si>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</si>
  <si>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</si>
  <si>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</si>
  <si>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</si>
  <si>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</si>
  <si>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</si>
  <si>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</si>
  <si>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</si>
  <si>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</si>
  <si>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</si>
  <si>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</si>
  <si>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</si>
  <si>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</si>
  <si>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</si>
  <si>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</si>
  <si>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</si>
  <si>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</si>
  <si>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</si>
  <si>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</si>
  <si>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</si>
  <si>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</si>
  <si>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</si>
  <si>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</si>
  <si>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</si>
  <si>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</si>
  <si>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</si>
  <si>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</si>
  <si>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</si>
  <si>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</si>
  <si>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</si>
  <si>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</si>
  <si>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</si>
  <si>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</si>
  <si>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</si>
  <si>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</si>
  <si>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</si>
  <si>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</si>
  <si>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</si>
  <si>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</si>
  <si>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</si>
  <si>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</si>
  <si>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</si>
  <si>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</si>
  <si>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</si>
  <si>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</si>
  <si>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</si>
  <si>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</si>
  <si>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</si>
  <si>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</si>
  <si>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</si>
  <si>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</si>
  <si>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</si>
  <si>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</si>
  <si>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</si>
  <si>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</si>
  <si>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</si>
  <si>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</si>
  <si>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</si>
  <si>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</si>
  <si>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</si>
  <si>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</si>
  <si>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</si>
  <si>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</si>
  <si>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</si>
  <si>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</si>
  <si>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</si>
  <si>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</si>
  <si>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</si>
  <si>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</si>
  <si>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</si>
  <si>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</si>
  <si>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</si>
  <si>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</si>
  <si>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</si>
  <si>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</si>
  <si>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</si>
  <si>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</si>
  <si>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</si>
  <si>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</si>
  <si>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</si>
  <si>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</si>
  <si>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</si>
  <si>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</si>
  <si>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</si>
  <si>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</si>
  <si>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</si>
  <si>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</si>
  <si>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</si>
  <si>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</si>
  <si>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</si>
  <si>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</si>
  <si>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</si>
  <si>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</si>
  <si>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</si>
  <si>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</si>
  <si>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</si>
  <si>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</si>
  <si>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</si>
  <si>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</si>
  <si>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</si>
  <si>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</si>
  <si>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</si>
  <si>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</si>
  <si>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</si>
  <si>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</si>
  <si>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</si>
  <si>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</si>
  <si>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</si>
  <si>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</si>
  <si>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</si>
  <si>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</si>
  <si>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</si>
  <si>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</si>
  <si>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</si>
  <si>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</si>
  <si>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</si>
  <si>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</si>
  <si>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</si>
  <si>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</si>
  <si>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</si>
  <si>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</si>
  <si>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</si>
  <si>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</si>
  <si>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</si>
  <si>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</si>
  <si>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</si>
  <si>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</si>
  <si>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</si>
  <si>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</si>
  <si>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</si>
  <si>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</si>
  <si>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</si>
  <si>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</si>
  <si>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</si>
  <si>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</si>
  <si>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</si>
  <si>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</si>
  <si>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</si>
  <si>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</si>
  <si>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</si>
  <si>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</si>
  <si>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</si>
  <si>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</si>
  <si>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</si>
  <si>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</si>
  <si>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</si>
  <si>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</si>
  <si>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</si>
  <si>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</si>
  <si>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</si>
  <si>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</si>
  <si>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</si>
  <si>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</si>
  <si>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</si>
  <si>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</si>
  <si>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</si>
  <si>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</si>
  <si>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</si>
  <si>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</si>
  <si>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</si>
  <si>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</si>
  <si>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</si>
  <si>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</si>
  <si>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</si>
  <si>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</si>
  <si>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</si>
  <si>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</si>
  <si>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</si>
  <si>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</si>
  <si>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</si>
  <si>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</si>
  <si>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</si>
  <si>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</si>
  <si>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</si>
  <si>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</si>
  <si>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</si>
  <si>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</si>
  <si>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</si>
  <si>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</si>
  <si>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</si>
  <si>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</si>
  <si>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</si>
  <si>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</si>
  <si>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</si>
  <si>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</si>
  <si>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</si>
  <si>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</si>
  <si>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</si>
  <si>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</si>
  <si>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</si>
  <si>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</si>
  <si>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</si>
  <si>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</si>
  <si>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</si>
  <si>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</si>
  <si>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</si>
  <si>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</si>
  <si>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</si>
  <si>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</si>
  <si>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</si>
  <si>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</si>
  <si>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</si>
  <si>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</si>
  <si>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</si>
  <si>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</si>
  <si>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</si>
  <si>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</si>
  <si>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</si>
  <si>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</si>
  <si>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</si>
  <si>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</si>
  <si>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</si>
  <si>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</si>
  <si>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</si>
  <si>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</si>
  <si>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</si>
  <si>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</si>
  <si>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</si>
  <si>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</si>
  <si>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</si>
  <si>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</si>
  <si>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</si>
  <si>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</si>
  <si>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</si>
  <si>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</si>
  <si>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</si>
  <si>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</si>
  <si>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</si>
  <si>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</si>
  <si>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</si>
  <si>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</si>
  <si>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</si>
  <si>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</si>
  <si>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</si>
  <si>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</si>
  <si>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</si>
  <si>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</si>
  <si>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</si>
  <si>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</si>
  <si>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</si>
  <si>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</si>
  <si>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</si>
  <si>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</si>
  <si>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</si>
  <si>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</si>
  <si>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</si>
  <si>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</si>
  <si>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</si>
  <si>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</si>
  <si>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</si>
  <si>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</si>
  <si>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</si>
  <si>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</si>
  <si>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</si>
  <si>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</si>
  <si>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</si>
  <si>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</si>
  <si>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</si>
  <si>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</si>
  <si>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</si>
  <si>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</si>
  <si>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</si>
  <si>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</si>
  <si>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</si>
  <si>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</si>
  <si>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</si>
  <si>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</si>
  <si>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</si>
  <si>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</si>
  <si>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</si>
  <si>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</si>
  <si>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</si>
  <si>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</si>
  <si>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</si>
  <si>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</si>
  <si>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</si>
  <si>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</si>
  <si>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</si>
  <si>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</si>
  <si>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</si>
  <si>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</si>
  <si>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</si>
  <si>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</si>
  <si>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</si>
  <si>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</si>
  <si>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</si>
  <si>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</si>
  <si>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</si>
  <si>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</si>
  <si>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</si>
  <si>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</si>
  <si>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</si>
  <si>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</si>
  <si>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</si>
  <si>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</si>
  <si>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</si>
  <si>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</si>
  <si>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</si>
  <si>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</si>
  <si>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</si>
  <si>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</si>
  <si>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</si>
  <si>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</si>
  <si>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</si>
  <si>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</si>
  <si>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</si>
  <si>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</si>
  <si>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</si>
  <si>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</si>
  <si>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</si>
  <si>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</si>
  <si>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</si>
  <si>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</si>
  <si>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</si>
  <si>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</si>
  <si>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</si>
  <si>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</si>
  <si>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</si>
  <si>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</si>
  <si>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</si>
  <si>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</si>
  <si>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</si>
  <si>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</si>
  <si>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</si>
  <si>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</si>
  <si>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</si>
  <si>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</si>
  <si>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</si>
  <si>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</si>
  <si>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</si>
  <si>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</si>
  <si>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</si>
  <si>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</si>
  <si>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</si>
  <si>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</si>
  <si>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</si>
  <si>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</si>
  <si>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</si>
  <si>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</si>
  <si>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</si>
  <si>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</si>
  <si>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</si>
  <si>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</si>
  <si>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</si>
  <si>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</si>
  <si>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</si>
  <si>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</si>
  <si>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</si>
  <si>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</si>
  <si>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</si>
  <si>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</si>
  <si>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</si>
  <si>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</si>
  <si>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</si>
  <si>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</si>
  <si>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</si>
  <si>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</si>
  <si>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</si>
  <si>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</si>
  <si>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</si>
  <si>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</si>
  <si>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</si>
  <si>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</si>
  <si>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</si>
  <si>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</si>
  <si>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</si>
  <si>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</si>
  <si>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</si>
  <si>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</si>
  <si>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</si>
  <si>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</si>
  <si>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</si>
  <si>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</si>
  <si>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</si>
  <si>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</si>
  <si>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</si>
  <si>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</si>
  <si>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</si>
  <si>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</si>
  <si>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</si>
  <si>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</si>
  <si>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</si>
  <si>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</si>
  <si>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</si>
  <si>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</si>
  <si>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</si>
  <si>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</si>
  <si>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</si>
  <si>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</si>
  <si>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</si>
  <si>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</si>
  <si>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</si>
  <si>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</si>
  <si>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</si>
  <si>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</si>
  <si>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</si>
  <si>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</si>
  <si>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</si>
  <si>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</si>
  <si>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</si>
  <si>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</si>
  <si>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</si>
  <si>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</si>
  <si>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</si>
  <si>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</si>
  <si>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</si>
  <si>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</si>
  <si>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</si>
  <si>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</si>
  <si>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</si>
  <si>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</si>
  <si>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</si>
  <si>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</si>
  <si>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</si>
  <si>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</si>
  <si>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</si>
  <si>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</si>
  <si>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</si>
  <si>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</si>
  <si>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</si>
  <si>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</si>
  <si>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</si>
  <si>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</si>
  <si>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</si>
  <si>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</si>
  <si>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</si>
  <si>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</si>
  <si>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</si>
  <si>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</si>
  <si>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</si>
  <si>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</si>
  <si>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</si>
  <si>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</si>
  <si>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</si>
  <si>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</si>
  <si>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</si>
  <si>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</si>
  <si>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</si>
  <si>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</si>
  <si>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</si>
  <si>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</si>
  <si>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</si>
  <si>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</si>
  <si>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</si>
  <si>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</si>
  <si>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</si>
  <si>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</si>
  <si>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</si>
  <si>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</si>
  <si>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</si>
  <si>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</si>
  <si>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</si>
  <si>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</si>
  <si>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</si>
  <si>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</si>
  <si>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</si>
  <si>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</si>
  <si>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</si>
  <si>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</si>
  <si>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</si>
  <si>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</si>
  <si>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</si>
  <si>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</si>
  <si>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</si>
  <si>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</si>
  <si>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</si>
  <si>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</si>
  <si>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</si>
  <si>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</si>
  <si>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</si>
  <si>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</si>
  <si>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</si>
  <si>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</si>
  <si>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</si>
  <si>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</si>
  <si>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</si>
  <si>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</si>
  <si>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</si>
  <si>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</si>
  <si>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</si>
  <si>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</si>
  <si>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</si>
  <si>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</si>
  <si>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</si>
  <si>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</si>
  <si>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</si>
  <si>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</si>
  <si>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</si>
  <si>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</si>
  <si>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</si>
  <si>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</si>
  <si>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</si>
  <si>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</si>
  <si>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</si>
  <si>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</si>
  <si>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</si>
  <si>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</si>
  <si>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</si>
  <si>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</si>
  <si>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</si>
  <si>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</si>
  <si>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</si>
  <si>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</si>
  <si>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</si>
  <si>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</si>
  <si>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</si>
  <si>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</si>
  <si>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</si>
  <si>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</si>
  <si>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</si>
  <si>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</si>
  <si>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</si>
  <si>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</si>
  <si>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</si>
  <si>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</si>
  <si>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</si>
  <si>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</si>
  <si>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</si>
  <si>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</si>
  <si>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</si>
  <si>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</si>
  <si>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</si>
  <si>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</si>
  <si>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</si>
  <si>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</si>
  <si>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</si>
  <si>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</si>
  <si>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</si>
  <si>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</si>
  <si>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</si>
  <si>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</si>
  <si>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</si>
  <si>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</si>
  <si>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</si>
  <si>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</si>
  <si>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</si>
  <si>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</si>
  <si>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</si>
  <si>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</si>
  <si>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</si>
  <si>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</si>
  <si>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</si>
  <si>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</si>
  <si>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</si>
  <si>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</si>
  <si>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</si>
  <si>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</si>
  <si>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</si>
  <si>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</si>
  <si>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</si>
  <si>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</si>
  <si>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</si>
  <si>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</si>
  <si>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</si>
  <si>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</si>
  <si>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</si>
  <si>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</si>
  <si>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</si>
  <si>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</si>
  <si>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</si>
  <si>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</si>
  <si>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</si>
  <si>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</si>
  <si>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</si>
  <si>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</si>
  <si>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</si>
  <si>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</si>
  <si>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</si>
  <si>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</si>
  <si>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</si>
  <si>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</si>
  <si>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</si>
  <si>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</si>
  <si>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</si>
  <si>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</si>
  <si>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</si>
  <si>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</si>
  <si>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</si>
  <si>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</si>
  <si>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</si>
  <si>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</si>
  <si>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</si>
  <si>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</si>
  <si>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</si>
  <si>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</si>
  <si>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</si>
  <si>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</si>
  <si>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</si>
  <si>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</si>
  <si>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</si>
  <si>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</si>
  <si>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</si>
  <si>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</si>
  <si>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</si>
  <si>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</si>
  <si>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</si>
  <si>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</si>
  <si>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</si>
  <si>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</si>
  <si>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</si>
  <si>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</si>
  <si>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</si>
  <si>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</si>
  <si>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</si>
  <si>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</si>
  <si>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</si>
  <si>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</si>
  <si>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</si>
  <si>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</si>
  <si>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</si>
  <si>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</si>
  <si>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</si>
  <si>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</si>
  <si>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</si>
  <si>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</si>
  <si>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</si>
  <si>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</si>
  <si>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</si>
  <si>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</si>
  <si>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</si>
  <si>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</si>
  <si>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</si>
  <si>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</si>
  <si>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</si>
  <si>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</si>
  <si>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</si>
  <si>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</si>
  <si>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</si>
  <si>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</si>
  <si>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</si>
  <si>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</si>
  <si>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</si>
  <si>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</si>
  <si>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</si>
  <si>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</si>
  <si>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</si>
  <si>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</si>
  <si>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</si>
  <si>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</si>
  <si>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</si>
  <si>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</si>
  <si>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</si>
  <si>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</si>
  <si>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</si>
  <si>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</si>
  <si>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</si>
  <si>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</si>
  <si>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</si>
  <si>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</si>
  <si>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</si>
  <si>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</si>
  <si>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</si>
  <si>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</si>
  <si>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</si>
  <si>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</si>
  <si>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</si>
  <si>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</si>
  <si>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</si>
  <si>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</si>
  <si>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</si>
  <si>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</si>
  <si>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</si>
  <si>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</si>
  <si>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</si>
  <si>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</si>
  <si>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</si>
  <si>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</si>
  <si>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</si>
  <si>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</si>
  <si>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</si>
  <si>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</si>
  <si>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</si>
  <si>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</si>
  <si>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</si>
  <si>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</si>
  <si>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</si>
  <si>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</si>
  <si>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</si>
  <si>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</si>
  <si>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</si>
  <si>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</si>
  <si>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</si>
  <si>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</si>
  <si>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</si>
  <si>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</si>
  <si>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</si>
  <si>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</si>
  <si>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</si>
  <si>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</si>
  <si>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</si>
  <si>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</si>
  <si>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</si>
  <si>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</si>
  <si>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</si>
  <si>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</si>
  <si>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</si>
  <si>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</si>
  <si>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</si>
  <si>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</si>
  <si>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</si>
  <si>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</si>
  <si>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</si>
  <si>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</si>
  <si>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</si>
  <si>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</si>
  <si>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</si>
  <si>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</si>
  <si>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</si>
  <si>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</si>
  <si>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</si>
  <si>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</si>
  <si>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</si>
  <si>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</si>
  <si>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</si>
  <si>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</si>
  <si>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</si>
  <si>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</si>
  <si>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</si>
  <si>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</si>
  <si>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</si>
  <si>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</si>
  <si>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</si>
  <si>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</si>
  <si>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</si>
  <si>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</si>
  <si>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</si>
  <si>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</si>
  <si>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</si>
  <si>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</si>
  <si>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</si>
  <si>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</si>
  <si>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</si>
  <si>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</si>
  <si>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</si>
  <si>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</si>
  <si>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</si>
  <si>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</si>
  <si>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</si>
  <si>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</si>
  <si>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</si>
  <si>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</si>
  <si>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</si>
  <si>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</si>
  <si>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</si>
  <si>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</si>
  <si>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</si>
  <si>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</si>
  <si>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</si>
  <si>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</si>
  <si>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</si>
  <si>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</si>
  <si>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</si>
  <si>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</si>
  <si>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</si>
  <si>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</si>
  <si>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</si>
  <si>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</si>
  <si>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</si>
  <si>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</si>
  <si>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</si>
  <si>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</si>
  <si>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</si>
  <si>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</si>
  <si>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</si>
  <si>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</si>
  <si>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</si>
  <si>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</si>
  <si>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</si>
  <si>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</si>
  <si>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</si>
  <si>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</si>
  <si>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</si>
  <si>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</si>
  <si>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</si>
  <si>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</si>
  <si>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</si>
  <si>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</si>
  <si>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</si>
  <si>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</si>
  <si>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</si>
  <si>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</si>
  <si>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</si>
  <si>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</si>
  <si>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</si>
  <si>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</si>
  <si>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</si>
  <si>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</si>
  <si>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</si>
  <si>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</si>
  <si>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</si>
  <si>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</si>
  <si>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</si>
  <si>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</si>
  <si>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</si>
  <si>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</si>
  <si>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</si>
  <si>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</si>
  <si>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</si>
  <si>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</si>
  <si>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</si>
  <si>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</si>
  <si>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</si>
  <si>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</si>
  <si>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</si>
  <si>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</si>
  <si>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</si>
  <si>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</si>
  <si>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</si>
  <si>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</si>
  <si>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</si>
  <si>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</si>
  <si>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</si>
  <si>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</si>
  <si>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</si>
  <si>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</si>
  <si>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</si>
  <si>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</si>
  <si>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</si>
  <si>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</si>
  <si>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</si>
  <si>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</si>
  <si>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</si>
  <si>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</si>
  <si>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</si>
  <si>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</si>
  <si>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</si>
  <si>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</si>
  <si>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</si>
  <si>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</si>
  <si>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</si>
  <si>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</si>
  <si>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</si>
  <si>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</si>
  <si>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</si>
  <si>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</si>
  <si>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</si>
  <si>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</si>
  <si>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</si>
  <si>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</si>
  <si>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</si>
  <si>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</si>
  <si>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</si>
  <si>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</si>
  <si>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</si>
  <si>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</si>
  <si>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</si>
  <si>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</si>
  <si>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</si>
  <si>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</si>
  <si>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</si>
  <si>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</si>
  <si>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</si>
  <si>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</si>
  <si>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</si>
  <si>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</si>
  <si>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</si>
  <si>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</si>
  <si>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</si>
  <si>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</si>
  <si>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</si>
  <si>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</si>
  <si>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</si>
  <si>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</si>
  <si>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</si>
  <si>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</si>
  <si>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</si>
  <si>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</si>
  <si>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</si>
  <si>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</si>
  <si>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</si>
  <si>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</si>
  <si>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</si>
  <si>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</si>
  <si>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</si>
  <si>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</si>
  <si>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</si>
  <si>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</si>
  <si>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</si>
  <si>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</si>
  <si>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</si>
  <si>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</si>
  <si>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</si>
  <si>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</si>
  <si>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</si>
  <si>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</si>
  <si>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</si>
  <si>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</si>
  <si>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</si>
  <si>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</si>
  <si>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</si>
  <si>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</si>
  <si>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</si>
  <si>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</si>
  <si>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</si>
  <si>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</si>
  <si>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</si>
  <si>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</si>
  <si>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</si>
  <si>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</si>
  <si>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</si>
  <si>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</si>
  <si>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</si>
  <si>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</si>
  <si>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</si>
  <si>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</si>
  <si>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</si>
  <si>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</si>
  <si>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</si>
  <si>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</si>
  <si>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</si>
  <si>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</si>
  <si>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</si>
  <si>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</si>
  <si>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</si>
  <si>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</si>
  <si>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</si>
  <si>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</si>
  <si>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</si>
  <si>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</si>
  <si>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</si>
  <si>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</si>
  <si>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</si>
  <si>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</si>
  <si>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</si>
  <si>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</si>
  <si>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</si>
  <si>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</si>
  <si>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</si>
  <si>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</si>
  <si>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</si>
  <si>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</si>
  <si>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</si>
  <si>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</si>
  <si>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</si>
  <si>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</si>
  <si>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</si>
  <si>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</si>
  <si>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</si>
  <si>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</si>
  <si>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</si>
  <si>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</si>
  <si>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</si>
  <si>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</si>
  <si>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</si>
  <si>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</si>
  <si>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</si>
  <si>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</si>
  <si>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</si>
  <si>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</si>
  <si>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</si>
  <si>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</si>
  <si>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</si>
  <si>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</si>
  <si>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</si>
  <si>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</si>
  <si>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</si>
  <si>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</si>
  <si>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</si>
  <si>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</si>
  <si>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</si>
  <si>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</si>
  <si>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</si>
  <si>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</si>
  <si>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</si>
  <si>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</si>
  <si>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</si>
  <si>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</si>
  <si>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</si>
  <si>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</si>
  <si>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</si>
  <si>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</si>
  <si>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</si>
  <si>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</si>
  <si>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</si>
  <si>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</si>
  <si>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</si>
  <si>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</si>
  <si>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</si>
  <si>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</si>
  <si>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</si>
  <si>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</si>
  <si>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</si>
  <si>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</si>
  <si>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</si>
  <si>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</si>
  <si>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</si>
  <si>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</si>
  <si>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</si>
  <si>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</si>
  <si>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</si>
  <si>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</si>
  <si>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</si>
  <si>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</si>
  <si>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</si>
  <si>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</si>
  <si>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</si>
  <si>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</si>
  <si>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</si>
  <si>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</si>
  <si>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</si>
  <si>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</si>
  <si>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</si>
  <si>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</si>
  <si>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</si>
  <si>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</si>
  <si>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</si>
  <si>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</si>
  <si>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</si>
  <si>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</si>
  <si>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</si>
  <si>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</si>
  <si>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</si>
  <si>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</si>
  <si>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</si>
  <si>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</si>
  <si>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</si>
  <si>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</si>
  <si>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</si>
  <si>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</si>
  <si>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</si>
  <si>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</si>
  <si>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</si>
  <si>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</si>
  <si>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</si>
  <si>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</si>
  <si>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</si>
  <si>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</si>
  <si>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</si>
  <si>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</si>
  <si>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</si>
  <si>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</si>
  <si>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</si>
  <si>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</si>
  <si>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</si>
  <si>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</si>
  <si>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</si>
  <si>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</si>
  <si>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</si>
  <si>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</si>
  <si>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</si>
  <si>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</si>
  <si>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</si>
  <si>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</si>
  <si>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</si>
  <si>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</si>
  <si>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</si>
  <si>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</si>
  <si>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</si>
  <si>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</si>
  <si>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</si>
  <si>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</si>
  <si>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</si>
  <si>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</si>
  <si>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</si>
  <si>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</si>
  <si>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</si>
  <si>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</si>
  <si>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</si>
  <si>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</si>
  <si>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</si>
  <si>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</si>
  <si>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</si>
  <si>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</si>
  <si>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</si>
  <si>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</si>
  <si>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</si>
  <si>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</si>
  <si>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</si>
  <si>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</si>
  <si>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</si>
  <si>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</si>
  <si>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</si>
  <si>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</si>
  <si>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</si>
  <si>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</si>
  <si>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</si>
  <si>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</si>
  <si>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</si>
  <si>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</si>
  <si>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</si>
  <si>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</si>
  <si>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</si>
  <si>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</si>
  <si>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</si>
  <si>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</si>
  <si>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</si>
  <si>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</si>
  <si>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</si>
  <si>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</si>
  <si>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</si>
  <si>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</si>
  <si>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</si>
  <si>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</si>
  <si>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</si>
  <si>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</si>
  <si>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</si>
  <si>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</si>
  <si>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</si>
  <si>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</si>
  <si>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</si>
  <si>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</si>
  <si>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</si>
  <si>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</si>
  <si>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</si>
  <si>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</si>
  <si>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</si>
  <si>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</si>
  <si>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</si>
  <si>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</si>
  <si>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</si>
  <si>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</si>
  <si>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</si>
  <si>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</si>
  <si>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</si>
  <si>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</si>
  <si>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</si>
  <si>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</si>
  <si>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</si>
  <si>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</si>
  <si>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</si>
  <si>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</si>
  <si>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</si>
  <si>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</si>
  <si>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</si>
  <si>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</si>
  <si>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</si>
  <si>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</si>
  <si>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</si>
  <si>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</si>
  <si>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</si>
  <si>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</si>
  <si>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</si>
  <si>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</si>
  <si>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</si>
  <si>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</si>
  <si>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</si>
  <si>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</si>
  <si>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</si>
  <si>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</si>
  <si>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</si>
  <si>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</si>
  <si>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</si>
  <si>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</si>
  <si>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</si>
  <si>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</si>
  <si>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</si>
  <si>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</si>
  <si>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</si>
  <si>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</si>
  <si>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</si>
  <si>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</si>
  <si>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</si>
  <si>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</si>
  <si>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</si>
  <si>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</si>
  <si>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</si>
  <si>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</si>
  <si>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</si>
  <si>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</si>
  <si>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</si>
  <si>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</si>
  <si>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</si>
  <si>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</si>
  <si>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</si>
  <si>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</si>
  <si>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</si>
  <si>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</si>
  <si>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</si>
  <si>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</si>
  <si>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</si>
  <si>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</si>
  <si>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</si>
  <si>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</si>
  <si>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</si>
  <si>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</si>
  <si>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</si>
  <si>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</si>
  <si>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</si>
  <si>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</si>
  <si>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</si>
  <si>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</si>
  <si>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</si>
  <si>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</si>
  <si>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</si>
  <si>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</si>
  <si>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</si>
  <si>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</si>
  <si>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</si>
  <si>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</si>
  <si>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</si>
  <si>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</si>
  <si>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</si>
  <si>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</si>
  <si>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</si>
  <si>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</si>
  <si>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</si>
  <si>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</si>
  <si>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</si>
  <si>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</si>
  <si>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</si>
  <si>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</si>
  <si>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</si>
  <si>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</si>
  <si>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</si>
  <si>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</si>
  <si>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</si>
  <si>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</si>
  <si>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</si>
  <si>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</si>
  <si>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</si>
  <si>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</si>
  <si>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</si>
  <si>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</si>
  <si>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</si>
  <si>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</si>
  <si>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</si>
  <si>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</si>
  <si>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</si>
  <si>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</si>
  <si>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</si>
  <si>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</si>
  <si>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</si>
  <si>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</si>
  <si>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</si>
  <si>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</si>
  <si>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</si>
  <si>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</si>
  <si>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</si>
  <si>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</si>
  <si>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</si>
  <si>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</si>
  <si>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</si>
  <si>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</si>
  <si>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</si>
  <si>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</si>
  <si>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</si>
  <si>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</si>
  <si>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</si>
  <si>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</si>
  <si>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</si>
  <si>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</si>
  <si>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</si>
  <si>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</si>
  <si>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</si>
  <si>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</si>
  <si>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</si>
  <si>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</si>
  <si>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</si>
  <si>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</si>
  <si>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</si>
  <si>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</si>
  <si>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</si>
  <si>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</si>
  <si>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</si>
  <si>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</si>
  <si>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</si>
  <si>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</si>
  <si>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</si>
  <si>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</si>
  <si>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</si>
  <si>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</si>
  <si>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</si>
  <si>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</si>
  <si>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</si>
  <si>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</si>
  <si>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</si>
  <si>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</si>
  <si>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</si>
  <si>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</si>
  <si>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</si>
  <si>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</si>
  <si>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</si>
  <si>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</si>
  <si>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</si>
  <si>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</si>
  <si>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</si>
  <si>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</si>
  <si>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</si>
  <si>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</si>
  <si>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</si>
  <si>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</si>
  <si>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</si>
  <si>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</si>
  <si>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</si>
  <si>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</si>
  <si>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</si>
  <si>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</si>
  <si>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</si>
  <si>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</si>
  <si>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</si>
  <si>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</si>
  <si>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</si>
  <si>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</si>
  <si>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</si>
  <si>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</si>
  <si>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</si>
  <si>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</si>
  <si>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</si>
  <si>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</si>
  <si>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</si>
  <si>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</si>
  <si>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</si>
  <si>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</si>
  <si>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</si>
  <si>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</si>
  <si>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</si>
  <si>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</si>
  <si>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</si>
  <si>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</si>
  <si>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</si>
  <si>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</si>
  <si>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</si>
  <si>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</si>
  <si>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</si>
  <si>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</si>
  <si>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</si>
  <si>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</si>
  <si>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</si>
  <si>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</si>
  <si>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</si>
  <si>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</si>
  <si>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</si>
  <si>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</si>
  <si>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</si>
  <si>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</si>
  <si>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</si>
  <si>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</si>
  <si>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</si>
  <si>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</si>
  <si>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</si>
  <si>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</si>
  <si>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</si>
  <si>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</si>
  <si>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</si>
  <si>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</si>
  <si>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</si>
  <si>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</si>
  <si>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</si>
  <si>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</si>
  <si>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</si>
  <si>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</si>
  <si>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</si>
  <si>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</si>
  <si>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</si>
  <si>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</si>
  <si>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</si>
  <si>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</si>
  <si>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</si>
  <si>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</si>
  <si>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</si>
  <si>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</si>
  <si>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</si>
  <si>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</si>
  <si>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</si>
  <si>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</si>
  <si>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</si>
  <si>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</si>
  <si>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</si>
  <si>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</si>
  <si>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</si>
  <si>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</si>
  <si>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</si>
  <si>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</si>
  <si>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</si>
  <si>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</si>
  <si>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</si>
  <si>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</si>
  <si>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</si>
  <si>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</si>
  <si>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</si>
  <si>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</si>
  <si>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</si>
  <si>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</si>
  <si>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</si>
  <si>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</si>
  <si>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</si>
  <si>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</si>
  <si>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</si>
  <si>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</si>
  <si>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</si>
  <si>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</si>
  <si>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</si>
  <si>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</si>
  <si>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</si>
  <si>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</si>
  <si>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</si>
  <si>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</si>
  <si>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</si>
  <si>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</si>
  <si>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</si>
  <si>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</si>
  <si>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</si>
  <si>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</si>
  <si>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</si>
  <si>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</si>
  <si>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</si>
  <si>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</si>
  <si>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</si>
  <si>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</si>
  <si>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</si>
  <si>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</si>
  <si>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</si>
  <si>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</si>
  <si>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</si>
  <si>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</si>
  <si>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</si>
  <si>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</si>
  <si>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</si>
  <si>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</si>
  <si>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</si>
  <si>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</si>
  <si>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</si>
  <si>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</si>
  <si>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</si>
  <si>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</si>
  <si>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</si>
  <si>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</si>
  <si>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</si>
  <si>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</si>
  <si>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</si>
  <si>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</si>
  <si>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</si>
  <si>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</si>
  <si>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</si>
  <si>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</si>
  <si>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</si>
  <si>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</si>
  <si>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</si>
  <si>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</si>
  <si>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</si>
  <si>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</si>
  <si>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</si>
  <si>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</si>
  <si>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</si>
  <si>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</si>
  <si>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</si>
  <si>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</si>
  <si>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</si>
  <si>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</si>
  <si>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</si>
  <si>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</si>
  <si>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</si>
  <si>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</si>
  <si>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</si>
  <si>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</si>
  <si>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</si>
  <si>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</si>
  <si>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</si>
  <si>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</si>
  <si>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</si>
  <si>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</si>
  <si>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</si>
  <si>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</si>
  <si>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</si>
  <si>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</si>
  <si>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</si>
  <si>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</si>
  <si>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</si>
  <si>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</si>
  <si>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</si>
  <si>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</si>
  <si>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</si>
  <si>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</si>
  <si>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</si>
  <si>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</si>
  <si>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</si>
  <si>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</si>
  <si>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</si>
  <si>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</si>
  <si>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</si>
  <si>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</si>
  <si>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</si>
  <si>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</si>
  <si>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</si>
  <si>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</si>
  <si>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</si>
  <si>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</si>
  <si>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</si>
  <si>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</si>
  <si>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</si>
  <si>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</si>
  <si>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</si>
  <si>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</si>
  <si>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</si>
  <si>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</si>
  <si>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</si>
  <si>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</si>
  <si>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</si>
  <si>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</si>
  <si>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</si>
  <si>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</si>
  <si>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</si>
  <si>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</si>
  <si>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</si>
  <si>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</si>
  <si>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</si>
  <si>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</si>
  <si>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</si>
  <si>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</si>
  <si>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</si>
  <si>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</si>
  <si>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</si>
  <si>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</si>
  <si>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</si>
  <si>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</si>
  <si>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</si>
  <si>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</si>
  <si>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</si>
  <si>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</si>
  <si>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</si>
  <si>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</si>
  <si>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</si>
  <si>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</si>
  <si>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</si>
  <si>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</si>
  <si>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</si>
  <si>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</si>
  <si>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</si>
  <si>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</si>
  <si>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</si>
  <si>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</si>
  <si>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</si>
  <si>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</si>
  <si>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</si>
  <si>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</si>
  <si>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</si>
  <si>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</si>
  <si>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</si>
  <si>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</si>
  <si>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</si>
  <si>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</si>
  <si>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</si>
  <si>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</si>
  <si>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</si>
  <si>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</si>
  <si>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</si>
  <si>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</si>
  <si>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</si>
  <si>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</si>
  <si>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</si>
  <si>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</si>
  <si>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</si>
  <si>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</si>
  <si>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</si>
  <si>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</si>
  <si>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</si>
  <si>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</si>
  <si>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</si>
  <si>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</si>
  <si>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</si>
  <si>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</si>
  <si>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</si>
  <si>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</si>
  <si>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</si>
  <si>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</si>
  <si>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</si>
  <si>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</si>
  <si>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</si>
  <si>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</si>
  <si>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</si>
  <si>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</si>
  <si>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</si>
  <si>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</si>
  <si>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</si>
  <si>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</si>
  <si>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</si>
  <si>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</si>
  <si>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</si>
  <si>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</si>
  <si>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</si>
  <si>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</si>
  <si>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</si>
  <si>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</si>
  <si>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</si>
  <si>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</si>
  <si>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</si>
  <si>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</si>
  <si>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</si>
  <si>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</si>
  <si>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</si>
  <si>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</si>
  <si>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</si>
  <si>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</si>
  <si>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</si>
  <si>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</si>
  <si>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</si>
  <si>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</si>
  <si>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</si>
  <si>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</si>
  <si>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</si>
  <si>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</si>
  <si>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</si>
  <si>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</si>
  <si>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</si>
  <si>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</si>
  <si>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</si>
  <si>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</si>
  <si>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</si>
  <si>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</si>
  <si>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</si>
  <si>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</si>
  <si>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</si>
  <si>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</si>
  <si>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</si>
  <si>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</si>
  <si>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</si>
  <si>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</si>
  <si>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</si>
  <si>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</si>
  <si>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</si>
  <si>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</si>
  <si>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</si>
  <si>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</si>
  <si>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</si>
  <si>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</si>
  <si>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</si>
  <si>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</si>
  <si>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</si>
  <si>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</si>
  <si>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</si>
  <si>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</si>
  <si>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</si>
  <si>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</si>
  <si>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</si>
  <si>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</si>
  <si>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</si>
  <si>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</si>
  <si>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</si>
  <si>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</si>
  <si>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</si>
  <si>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</si>
  <si>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</si>
  <si>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</si>
  <si>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</si>
  <si>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</si>
  <si>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</si>
  <si>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</si>
  <si>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</si>
  <si>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</si>
  <si>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</si>
  <si>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</si>
  <si>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</si>
  <si>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</si>
  <si>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</si>
  <si>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</si>
  <si>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</si>
  <si>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</si>
  <si>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</si>
  <si>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</si>
  <si>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</si>
  <si>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</si>
  <si>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</si>
  <si>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</si>
  <si>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</si>
  <si>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</si>
  <si>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</si>
  <si>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</si>
  <si>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</si>
  <si>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</si>
  <si>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</si>
  <si>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</si>
  <si>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</si>
  <si>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</si>
  <si>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</si>
  <si>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</si>
  <si>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</si>
  <si>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</si>
  <si>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</si>
  <si>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</si>
  <si>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</si>
  <si>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</si>
  <si>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</si>
  <si>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</si>
  <si>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</si>
  <si>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</si>
  <si>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</si>
  <si>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</si>
  <si>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</si>
  <si>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</si>
  <si>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</si>
  <si>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</si>
  <si>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</si>
  <si>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</si>
  <si>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</si>
  <si>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</si>
  <si>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</si>
  <si>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</si>
  <si>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</si>
  <si>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</si>
  <si>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</si>
  <si>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</si>
  <si>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</si>
  <si>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</si>
  <si>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</si>
  <si>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</si>
  <si>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</si>
  <si>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</si>
  <si>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</si>
  <si>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</si>
  <si>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</si>
  <si>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</si>
  <si>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</si>
  <si>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</si>
  <si>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</si>
  <si>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</si>
  <si>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</si>
  <si>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</si>
  <si>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</si>
  <si>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</si>
  <si>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</si>
  <si>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</si>
  <si>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</si>
  <si>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</si>
  <si>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</si>
  <si>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</si>
  <si>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</si>
  <si>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</si>
  <si>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</si>
  <si>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</si>
  <si>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</si>
  <si>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</si>
  <si>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</si>
  <si>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</si>
  <si>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</si>
  <si>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</si>
  <si>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</si>
  <si>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</si>
  <si>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</si>
  <si>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</si>
  <si>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</si>
  <si>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</si>
  <si>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</si>
  <si>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</si>
  <si>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</si>
  <si>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</si>
  <si>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</si>
  <si>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</si>
  <si>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</si>
  <si>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</si>
  <si>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</si>
  <si>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</si>
  <si>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</si>
  <si>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</si>
  <si>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</si>
  <si>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</si>
  <si>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</si>
  <si>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</si>
  <si>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</si>
  <si>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</si>
  <si>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</si>
  <si>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</si>
  <si>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</si>
  <si>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</si>
  <si>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</si>
  <si>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</si>
  <si>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</si>
  <si>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</si>
  <si>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</si>
  <si>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</si>
  <si>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</si>
  <si>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</si>
  <si>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</si>
  <si>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</si>
  <si>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</si>
  <si>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</si>
  <si>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</si>
  <si>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</si>
  <si>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</si>
  <si>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</si>
  <si>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</si>
  <si>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</si>
  <si>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</si>
  <si>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</si>
  <si>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</si>
  <si>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</si>
  <si>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</si>
  <si>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</si>
  <si>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</si>
  <si>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</si>
  <si>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</si>
  <si>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</si>
  <si>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</si>
  <si>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</si>
  <si>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</si>
  <si>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</si>
  <si>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</si>
  <si>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</si>
  <si>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</si>
  <si>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</si>
  <si>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</si>
  <si>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</si>
  <si>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</si>
  <si>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</si>
  <si>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</si>
  <si>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</si>
  <si>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</si>
  <si>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</si>
  <si>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</si>
  <si>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</si>
  <si>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</si>
  <si>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</si>
  <si>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</si>
  <si>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</si>
  <si>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</si>
  <si>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</si>
  <si>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</si>
  <si>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</si>
  <si>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</si>
  <si>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</si>
  <si>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</si>
  <si>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</si>
  <si>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</si>
  <si>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</si>
  <si>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</si>
  <si>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</si>
  <si>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</si>
  <si>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</si>
  <si>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</si>
  <si>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</si>
  <si>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</si>
  <si>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</si>
  <si>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</si>
  <si>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</si>
  <si>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</si>
  <si>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</si>
  <si>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</si>
  <si>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</si>
  <si>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</si>
  <si>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</si>
  <si>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</si>
  <si>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</si>
  <si>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</si>
  <si>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</si>
  <si>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</si>
  <si>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</si>
  <si>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</si>
  <si>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</si>
  <si>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</si>
  <si>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</si>
  <si>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</si>
  <si>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</si>
  <si>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</si>
  <si>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</si>
  <si>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</si>
  <si>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</si>
  <si>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</si>
  <si>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</si>
  <si>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</si>
  <si>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</si>
  <si>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</si>
  <si>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</si>
  <si>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</si>
  <si>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</si>
  <si>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</si>
  <si>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</si>
  <si>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</si>
  <si>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</si>
  <si>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</si>
  <si>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</si>
  <si>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</si>
  <si>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</si>
  <si>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</si>
  <si>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</si>
  <si>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</si>
  <si>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</si>
  <si>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</si>
  <si>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</si>
  <si>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</si>
  <si>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</si>
  <si>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</si>
  <si>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</si>
  <si>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</si>
  <si>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</si>
  <si>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</si>
  <si>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</si>
  <si>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</si>
  <si>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</si>
  <si>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</si>
  <si>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</si>
  <si>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</si>
  <si>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</si>
  <si>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</si>
  <si>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</si>
  <si>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</si>
  <si>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</si>
  <si>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</si>
  <si>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</si>
  <si>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</si>
  <si>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</si>
  <si>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</si>
  <si>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</si>
  <si>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</si>
  <si>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</si>
  <si>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</si>
  <si>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</si>
  <si>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</si>
  <si>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</si>
  <si>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</si>
  <si>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</si>
  <si>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</si>
  <si>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</si>
  <si>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</si>
  <si>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</si>
  <si>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</si>
  <si>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</si>
  <si>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</si>
  <si>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</si>
  <si>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</si>
  <si>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</si>
  <si>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</si>
  <si>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</si>
  <si>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</si>
  <si>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</si>
  <si>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</si>
  <si>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</si>
  <si>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</si>
  <si>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</si>
  <si>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</si>
  <si>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</si>
  <si>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</si>
  <si>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</si>
  <si>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</si>
  <si>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</si>
  <si>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</si>
  <si>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</si>
  <si>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</si>
  <si>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</si>
  <si>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</si>
  <si>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</si>
  <si>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</si>
  <si>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</si>
  <si>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</si>
  <si>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</si>
  <si>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</si>
  <si>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</si>
  <si>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</si>
  <si>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</si>
  <si>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</si>
  <si>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</si>
  <si>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</si>
  <si>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</si>
  <si>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</si>
  <si>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</si>
  <si>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</si>
  <si>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</si>
  <si>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</si>
  <si>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</si>
  <si>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</si>
  <si>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</si>
  <si>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</si>
  <si>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</si>
  <si>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</si>
  <si>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</si>
  <si>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</si>
  <si>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</si>
  <si>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</si>
  <si>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</si>
  <si>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</si>
  <si>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</si>
  <si>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</si>
  <si>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</si>
  <si>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</si>
  <si>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</si>
  <si>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</si>
  <si>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</si>
  <si>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</si>
  <si>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</si>
  <si>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</si>
  <si>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</si>
  <si>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</si>
  <si>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</si>
  <si>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</si>
  <si>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</si>
  <si>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</si>
  <si>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</si>
  <si>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</si>
  <si>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</si>
  <si>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</si>
  <si>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</si>
  <si>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</si>
  <si>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</si>
  <si>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</si>
  <si>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</si>
  <si>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</si>
  <si>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</si>
  <si>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</si>
  <si>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</si>
  <si>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</si>
  <si>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</si>
  <si>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</si>
  <si>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</si>
  <si>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</si>
  <si>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</si>
  <si>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</si>
  <si>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</si>
  <si>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</si>
  <si>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</si>
  <si>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</si>
  <si>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</si>
  <si>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</si>
  <si>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</si>
  <si>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</si>
  <si>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</si>
  <si>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</si>
  <si>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</si>
  <si>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</si>
  <si>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</si>
  <si>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</si>
  <si>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</si>
  <si>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</si>
  <si>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</si>
  <si>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</si>
  <si>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</si>
  <si>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</si>
  <si>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</si>
  <si>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</si>
  <si>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</si>
  <si>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</si>
  <si>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</si>
  <si>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</si>
  <si>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</si>
  <si>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</si>
  <si>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</si>
  <si>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</si>
  <si>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</si>
  <si>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</si>
  <si>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</si>
  <si>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</si>
  <si>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</si>
  <si>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</si>
  <si>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</si>
  <si>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</si>
  <si>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</si>
  <si>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</si>
  <si>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</si>
  <si>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</si>
  <si>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</si>
  <si>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</si>
  <si>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</si>
  <si>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</si>
  <si>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</si>
  <si>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</si>
  <si>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</si>
  <si>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</si>
  <si>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</si>
  <si>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</si>
  <si>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</si>
  <si>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</si>
  <si>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</si>
  <si>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</si>
  <si>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</si>
  <si>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</si>
  <si>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</si>
  <si>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</si>
  <si>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</si>
  <si>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</si>
  <si>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</si>
  <si>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</si>
  <si>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</si>
  <si>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</si>
  <si>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</si>
  <si>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</si>
  <si>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</si>
  <si>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</si>
  <si>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</si>
  <si>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</si>
  <si>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</si>
  <si>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</si>
  <si>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</si>
  <si>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</si>
  <si>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</si>
  <si>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</si>
  <si>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</si>
  <si>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</si>
  <si>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</si>
  <si>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</si>
  <si>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</si>
  <si>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</si>
  <si>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</si>
  <si>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</si>
  <si>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</si>
  <si>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</si>
  <si>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</si>
  <si>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</si>
  <si>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</si>
  <si>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</si>
  <si>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</si>
  <si>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</si>
  <si>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</si>
  <si>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</si>
  <si>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</si>
  <si>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</si>
  <si>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</si>
  <si>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</si>
  <si>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</si>
  <si>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</si>
  <si>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</si>
  <si>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</si>
  <si>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</si>
  <si>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</si>
  <si>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</si>
  <si>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</si>
  <si>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</si>
  <si>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</si>
  <si>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</si>
  <si>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</si>
  <si>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</si>
  <si>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</si>
  <si>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</si>
  <si>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</si>
  <si>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</si>
  <si>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</si>
  <si>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</si>
  <si>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</si>
  <si>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</si>
  <si>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</si>
  <si>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</si>
  <si>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</si>
  <si>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</si>
  <si>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</si>
  <si>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</si>
  <si>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</si>
  <si>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</si>
  <si>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</si>
  <si>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</si>
  <si>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</si>
  <si>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</si>
  <si>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</si>
  <si>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</si>
  <si>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</si>
  <si>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</si>
  <si>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</si>
  <si>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</si>
  <si>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</si>
  <si>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</si>
  <si>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</si>
  <si>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</si>
  <si>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</si>
  <si>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</si>
  <si>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</si>
  <si>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</si>
  <si>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</si>
  <si>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</si>
  <si>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</si>
  <si>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</si>
  <si>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</si>
  <si>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</si>
  <si>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</si>
  <si>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</si>
  <si>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</si>
  <si>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</si>
  <si>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</si>
  <si>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</si>
  <si>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</si>
  <si>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</si>
  <si>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</si>
  <si>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</si>
  <si>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</si>
  <si>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</si>
  <si>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</si>
  <si>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</si>
  <si>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</si>
  <si>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</si>
  <si>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</si>
  <si>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</si>
  <si>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</si>
  <si>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</si>
  <si>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</si>
  <si>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</si>
  <si>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</si>
  <si>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</si>
  <si>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</si>
  <si>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</si>
  <si>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</si>
  <si>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</si>
  <si>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</si>
  <si>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</si>
  <si>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</si>
  <si>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</si>
  <si>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</si>
  <si>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</si>
  <si>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</si>
  <si>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</si>
  <si>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</si>
  <si>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</si>
  <si>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</si>
  <si>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</si>
  <si>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</si>
  <si>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</si>
  <si>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</si>
  <si>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</si>
  <si>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</si>
  <si>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</si>
  <si>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</si>
  <si>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</si>
  <si>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</si>
  <si>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</si>
  <si>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</si>
  <si>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</si>
  <si>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</si>
  <si>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</si>
  <si>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</si>
  <si>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</si>
  <si>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</si>
  <si>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</si>
  <si>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</si>
  <si>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</si>
  <si>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</si>
  <si>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</si>
  <si>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</si>
  <si>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</si>
  <si>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</si>
  <si>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</si>
  <si>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</si>
  <si>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</si>
  <si>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</si>
  <si>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</si>
  <si>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</si>
  <si>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</si>
  <si>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</si>
  <si>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</si>
  <si>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</si>
  <si>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</si>
  <si>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</si>
  <si>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</si>
  <si>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</si>
  <si>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</si>
  <si>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</si>
  <si>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</si>
  <si>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</si>
  <si>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</si>
  <si>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</si>
  <si>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</si>
  <si>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</si>
  <si>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</si>
  <si>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</si>
  <si>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</si>
  <si>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</si>
  <si>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</si>
  <si>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</si>
  <si>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</si>
  <si>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</si>
  <si>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</si>
  <si>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</si>
  <si>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</si>
  <si>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</si>
  <si>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</si>
  <si>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</si>
  <si>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</si>
  <si>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</si>
  <si>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</si>
  <si>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</si>
  <si>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</si>
  <si>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</si>
  <si>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</si>
  <si>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</si>
  <si>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</si>
  <si>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</si>
  <si>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</si>
  <si>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</si>
  <si>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</si>
  <si>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</si>
  <si>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</si>
  <si>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</si>
  <si>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</si>
  <si>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</si>
  <si>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</si>
  <si>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</si>
  <si>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</si>
  <si>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</si>
  <si>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</si>
  <si>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</si>
  <si>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</si>
  <si>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</si>
  <si>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</si>
  <si>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</si>
  <si>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</si>
  <si>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</si>
  <si>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</si>
  <si>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</si>
  <si>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</si>
  <si>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</si>
  <si>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</si>
  <si>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</si>
  <si>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</si>
  <si>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</si>
  <si>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</si>
  <si>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</si>
  <si>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</si>
  <si>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</si>
  <si>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</si>
  <si>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</si>
  <si>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</si>
  <si>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</si>
  <si>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</si>
  <si>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</si>
  <si>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</si>
  <si>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</si>
  <si>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</si>
  <si>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</si>
  <si>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</si>
  <si>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</si>
  <si>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</si>
  <si>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</si>
  <si>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</si>
  <si>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</si>
  <si>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</si>
  <si>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</si>
  <si>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</si>
  <si>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</si>
  <si>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</si>
  <si>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</si>
  <si>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</si>
  <si>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</si>
  <si>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</si>
  <si>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</si>
  <si>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</si>
  <si>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</si>
  <si>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</si>
  <si>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</si>
  <si>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</si>
  <si>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</si>
  <si>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</si>
  <si>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</si>
  <si>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</si>
  <si>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</si>
  <si>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</si>
  <si>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</si>
  <si>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</si>
  <si>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</si>
  <si>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</si>
  <si>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</si>
  <si>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</si>
  <si>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</si>
  <si>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</si>
  <si>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</si>
  <si>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</si>
  <si>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</si>
  <si>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</si>
  <si>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</si>
  <si>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</si>
  <si>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</si>
  <si>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</si>
  <si>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</si>
  <si>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</si>
  <si>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</si>
  <si>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</si>
  <si>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</si>
  <si>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</si>
  <si>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</si>
  <si>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</si>
  <si>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</si>
  <si>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</si>
  <si>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</si>
  <si>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</si>
  <si>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</si>
  <si>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</si>
  <si>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</si>
  <si>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</si>
  <si>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</si>
  <si>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</si>
  <si>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</si>
  <si>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</si>
  <si>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</si>
  <si>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</si>
  <si>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</si>
  <si>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</si>
  <si>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</si>
  <si>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</si>
  <si>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</si>
  <si>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</si>
  <si>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</si>
  <si>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</si>
  <si>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</si>
  <si>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</si>
  <si>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</si>
  <si>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</si>
  <si>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</si>
  <si>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</si>
  <si>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</si>
  <si>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</si>
  <si>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</si>
  <si>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</si>
  <si>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</si>
  <si>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</si>
  <si>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</si>
  <si>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</si>
  <si>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</si>
  <si>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</si>
  <si>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</si>
  <si>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</si>
  <si>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</si>
  <si>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</si>
  <si>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</si>
  <si>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</si>
  <si>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</si>
  <si>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</si>
  <si>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</si>
  <si>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</si>
  <si>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</si>
  <si>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</si>
  <si>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</si>
  <si>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</si>
  <si>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</si>
  <si>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</si>
  <si>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</si>
  <si>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</si>
  <si>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</si>
  <si>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</si>
  <si>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</si>
  <si>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</si>
  <si>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</si>
  <si>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</si>
  <si>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</si>
  <si>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</si>
  <si>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</si>
  <si>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</si>
  <si>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</si>
  <si>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</si>
  <si>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</si>
  <si>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</si>
  <si>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</si>
  <si>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</si>
  <si>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</si>
  <si>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</si>
  <si>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</si>
  <si>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</si>
  <si>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</si>
  <si>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</si>
  <si>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</si>
  <si>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</si>
  <si>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</si>
  <si>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</si>
  <si>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</si>
  <si>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</si>
  <si>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</si>
  <si>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</si>
  <si>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</si>
  <si>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</si>
  <si>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</si>
  <si>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</si>
  <si>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</si>
  <si>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</si>
  <si>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</si>
  <si>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</si>
  <si>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</si>
  <si>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</si>
  <si>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</si>
  <si>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</si>
  <si>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</si>
  <si>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</si>
  <si>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</si>
  <si>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</si>
  <si>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</si>
  <si>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</si>
  <si>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</si>
  <si>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</si>
  <si>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</si>
  <si>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</si>
  <si>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</si>
  <si>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</si>
  <si>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</si>
  <si>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</si>
  <si>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</si>
  <si>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</si>
  <si>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</si>
  <si>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</si>
  <si>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</si>
  <si>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</si>
  <si>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</si>
  <si>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</si>
  <si>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</si>
  <si>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</si>
  <si>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</si>
  <si>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</si>
  <si>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</si>
  <si>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</si>
  <si>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</si>
  <si>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</si>
  <si>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</si>
  <si>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</si>
  <si>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</si>
  <si>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</si>
  <si>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</si>
  <si>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</si>
  <si>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</si>
  <si>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</si>
  <si>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</si>
  <si>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</si>
  <si>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</si>
  <si>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</si>
  <si>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</si>
  <si>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</si>
  <si>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</si>
  <si>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</si>
  <si>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</si>
  <si>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</si>
  <si>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</si>
  <si>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</si>
  <si>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</si>
  <si>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</si>
  <si>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</si>
  <si>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</si>
  <si>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</si>
  <si>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</si>
  <si>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</si>
  <si>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</si>
  <si>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</si>
  <si>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</si>
  <si>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</si>
  <si>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</si>
  <si>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</si>
  <si>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</si>
  <si>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</si>
  <si>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</si>
  <si>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</si>
  <si>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</si>
  <si>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</si>
  <si>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</si>
  <si>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</si>
  <si>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</si>
  <si>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</si>
  <si>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</si>
  <si>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</si>
  <si>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</si>
  <si>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</si>
  <si>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</si>
  <si>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</si>
  <si>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</si>
  <si>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</si>
  <si>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</si>
  <si>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</si>
  <si>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</si>
  <si>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</si>
  <si>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</si>
  <si>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</si>
  <si>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</si>
  <si>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</si>
  <si>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</si>
  <si>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</si>
  <si>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</si>
  <si>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</si>
  <si>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</si>
  <si>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</si>
  <si>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</si>
  <si>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</si>
  <si>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</si>
  <si>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</si>
  <si>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</si>
  <si>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</si>
  <si>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</si>
  <si>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</si>
  <si>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</si>
  <si>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</si>
  <si>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</si>
  <si>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</si>
  <si>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</si>
  <si>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</si>
  <si>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</si>
  <si>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</si>
  <si>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</si>
  <si>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</si>
  <si>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</si>
  <si>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</si>
  <si>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</si>
  <si>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</si>
  <si>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</si>
  <si>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</si>
  <si>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</si>
  <si>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</si>
  <si>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</si>
  <si>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</si>
  <si>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</si>
  <si>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</si>
  <si>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</si>
  <si>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</si>
  <si>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</si>
  <si>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</si>
  <si>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</si>
  <si>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</si>
  <si>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</si>
  <si>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</si>
  <si>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</si>
  <si>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</si>
  <si>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</si>
  <si>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</si>
  <si>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</si>
  <si>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</si>
  <si>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</si>
  <si>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</si>
  <si>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</si>
  <si>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</si>
  <si>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</si>
  <si>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</si>
  <si>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</si>
  <si>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</si>
  <si>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</si>
  <si>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</si>
  <si>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</si>
  <si>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</si>
  <si>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</si>
  <si>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</si>
  <si>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</si>
  <si>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</si>
  <si>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</si>
  <si>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</si>
  <si>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</si>
  <si>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</si>
  <si>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</si>
  <si>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</si>
  <si>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</si>
  <si>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</si>
  <si>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</si>
  <si>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</si>
  <si>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</si>
  <si>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</si>
  <si>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</si>
  <si>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</si>
  <si>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</si>
  <si>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</si>
  <si>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</si>
  <si>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</si>
  <si>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</si>
  <si>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</si>
  <si>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</si>
  <si>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</si>
  <si>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</si>
  <si>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</si>
  <si>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</si>
  <si>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</si>
  <si>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</si>
  <si>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</si>
  <si>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</si>
  <si>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</si>
  <si>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</si>
  <si>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</si>
  <si>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</si>
  <si>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</si>
  <si>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</si>
  <si>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</si>
  <si>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</si>
  <si>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</si>
  <si>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</si>
  <si>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</si>
  <si>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</si>
  <si>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</si>
  <si>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</si>
  <si>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</si>
  <si>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</si>
  <si>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</si>
  <si>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</si>
  <si>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</si>
  <si>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</si>
  <si>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</si>
  <si>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</si>
  <si>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</si>
  <si>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</si>
  <si>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</si>
  <si>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</si>
  <si>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</si>
  <si>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</si>
  <si>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</si>
  <si>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</si>
  <si>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</si>
  <si>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</si>
  <si>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</si>
  <si>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</si>
  <si>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</si>
  <si>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</si>
  <si>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</si>
  <si>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</si>
  <si>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</si>
  <si>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</si>
  <si>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</si>
  <si>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</si>
  <si>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</si>
  <si>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</si>
  <si>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</si>
  <si>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</si>
  <si>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</si>
  <si>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</si>
  <si>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</si>
  <si>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</si>
  <si>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</si>
  <si>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</si>
  <si>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</si>
  <si>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</si>
  <si>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</si>
  <si>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</si>
  <si>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</si>
  <si>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</si>
  <si>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</si>
  <si>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</si>
  <si>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</si>
  <si>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</si>
  <si>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</si>
  <si>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</si>
  <si>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</si>
  <si>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</si>
  <si>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</si>
  <si>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</si>
  <si>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</si>
  <si>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</si>
  <si>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</si>
  <si>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</si>
  <si>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</si>
  <si>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</si>
  <si>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</si>
  <si>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</si>
  <si>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</si>
  <si>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</si>
  <si>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</si>
  <si>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</si>
  <si>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</si>
  <si>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</si>
  <si>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</si>
  <si>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</si>
  <si>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</si>
  <si>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</si>
  <si>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</si>
  <si>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</si>
  <si>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</si>
  <si>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</si>
  <si>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</si>
  <si>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</si>
  <si>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</si>
  <si>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</si>
  <si>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</si>
  <si>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</si>
  <si>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</si>
  <si>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</si>
  <si>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</si>
  <si>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</si>
  <si>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</si>
  <si>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</si>
  <si>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</si>
  <si>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</si>
  <si>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</si>
  <si>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</si>
  <si>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</si>
  <si>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</si>
  <si>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</si>
  <si>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</si>
  <si>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</si>
  <si>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</si>
  <si>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</si>
  <si>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</si>
  <si>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</si>
  <si>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</si>
  <si>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</si>
  <si>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</si>
  <si>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</si>
  <si>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</si>
  <si>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</si>
  <si>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</si>
  <si>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</si>
  <si>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</si>
  <si>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</si>
  <si>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</si>
  <si>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</si>
  <si>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</si>
  <si>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</si>
  <si>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</si>
  <si>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</si>
  <si>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</si>
  <si>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</si>
  <si>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</si>
  <si>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</si>
  <si>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</si>
  <si>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</si>
  <si>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</si>
  <si>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</si>
  <si>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</si>
  <si>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</si>
  <si>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</si>
  <si>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</si>
  <si>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</si>
  <si>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</si>
  <si>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</si>
  <si>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</si>
  <si>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</si>
  <si>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</si>
  <si>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</si>
  <si>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</si>
  <si>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</si>
  <si>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</si>
  <si>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</si>
  <si>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</si>
  <si>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</si>
  <si>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</si>
  <si>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</si>
  <si>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</si>
  <si>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</si>
  <si>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</si>
  <si>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</si>
  <si>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</si>
  <si>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</si>
  <si>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</si>
  <si>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</si>
  <si>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</si>
  <si>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</si>
  <si>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</si>
  <si>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</si>
  <si>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</si>
  <si>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</si>
  <si>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</si>
  <si>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</si>
  <si>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</si>
  <si>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</si>
  <si>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</si>
  <si>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</si>
  <si>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</si>
  <si>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</si>
  <si>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</si>
  <si>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</si>
  <si>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</si>
  <si>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</si>
  <si>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</si>
  <si>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</si>
  <si>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</si>
  <si>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</si>
  <si>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</si>
  <si>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</si>
  <si>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</si>
  <si>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</si>
  <si>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</si>
  <si>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</si>
  <si>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</si>
  <si>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</si>
  <si>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</si>
  <si>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</si>
  <si>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</si>
  <si>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</si>
  <si>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</si>
  <si>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</si>
  <si>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</si>
  <si>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</si>
  <si>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</si>
  <si>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</si>
  <si>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</si>
  <si>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</si>
  <si>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</si>
  <si>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</si>
  <si>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</si>
  <si>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</si>
  <si>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</si>
  <si>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</si>
  <si>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</si>
  <si>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</si>
  <si>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</si>
  <si>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</si>
  <si>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</si>
  <si>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</si>
  <si>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</si>
  <si>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</si>
  <si>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</si>
  <si>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</si>
  <si>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</si>
  <si>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</si>
  <si>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</si>
  <si>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</si>
  <si>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</si>
  <si>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</si>
  <si>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</si>
  <si>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</si>
  <si>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</si>
  <si>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</si>
  <si>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</si>
  <si>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</si>
  <si>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</si>
  <si>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</si>
  <si>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</si>
  <si>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</si>
  <si>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</si>
  <si>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</si>
  <si>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</si>
  <si>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</si>
  <si>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</si>
  <si>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</si>
  <si>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</si>
  <si>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</si>
  <si>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</si>
  <si>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</si>
  <si>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</si>
  <si>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</si>
  <si>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</si>
  <si>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</si>
  <si>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</si>
  <si>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</si>
  <si>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</si>
  <si>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</si>
  <si>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</si>
  <si>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</si>
  <si>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</si>
  <si>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</si>
  <si>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</si>
  <si>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</si>
  <si>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</si>
  <si>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</si>
  <si>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</si>
  <si>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</si>
  <si>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</si>
  <si>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</si>
  <si>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</si>
  <si>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</si>
  <si>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</si>
  <si>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</si>
  <si>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</si>
  <si>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</si>
  <si>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</si>
  <si>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</si>
  <si>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</si>
  <si>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</si>
  <si>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</si>
  <si>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</si>
  <si>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</si>
  <si>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</si>
  <si>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</si>
  <si>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</si>
  <si>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</si>
  <si>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</si>
  <si>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</si>
  <si>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</si>
  <si>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</si>
  <si>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</si>
  <si>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</si>
  <si>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</si>
  <si>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</si>
  <si>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</si>
  <si>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</si>
  <si>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</si>
  <si>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</si>
  <si>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</si>
  <si>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</si>
  <si>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</si>
  <si>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</si>
  <si>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</si>
  <si>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</si>
  <si>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</si>
  <si>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</si>
  <si>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</si>
  <si>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</si>
  <si>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</si>
  <si>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</si>
  <si>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</si>
  <si>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</si>
  <si>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</si>
  <si>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</si>
  <si>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</si>
  <si>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</si>
  <si>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</si>
  <si>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</si>
  <si>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</si>
  <si>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</si>
  <si>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</si>
  <si>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</si>
  <si>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</si>
  <si>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</si>
  <si>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</si>
  <si>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</si>
  <si>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</si>
  <si>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</si>
  <si>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</si>
  <si>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</si>
  <si>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</si>
  <si>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</si>
  <si>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</si>
  <si>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</si>
  <si>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</si>
  <si>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</si>
  <si>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</si>
  <si>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</si>
  <si>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</si>
  <si>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</si>
  <si>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</si>
  <si>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</si>
  <si>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</si>
  <si>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</si>
  <si>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</si>
  <si>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</si>
  <si>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</si>
  <si>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</si>
  <si>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</si>
  <si>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</si>
  <si>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</si>
  <si>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</si>
  <si>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</si>
  <si>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</si>
  <si>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</si>
  <si>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</si>
  <si>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</si>
  <si>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</si>
  <si>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</si>
  <si>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</si>
  <si>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</si>
  <si>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</si>
  <si>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</si>
  <si>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</si>
  <si>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</si>
  <si>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</si>
  <si>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</si>
  <si>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</si>
  <si>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</si>
  <si>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</si>
  <si>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</si>
  <si>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</si>
  <si>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</si>
  <si>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</si>
  <si>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</si>
  <si>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</si>
  <si>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</si>
  <si>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</si>
  <si>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</si>
  <si>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</si>
  <si>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</si>
  <si>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</si>
  <si>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</si>
  <si>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</si>
  <si>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</si>
  <si>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</si>
  <si>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</si>
  <si>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</si>
  <si>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</si>
  <si>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</si>
  <si>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</si>
  <si>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</si>
  <si>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</si>
  <si>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</si>
  <si>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</si>
  <si>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</si>
  <si>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</si>
  <si>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</si>
  <si>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</si>
  <si>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</si>
  <si>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</si>
  <si>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</si>
  <si>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</si>
  <si>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</si>
  <si>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</si>
  <si>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</si>
  <si>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</si>
  <si>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</si>
  <si>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</si>
  <si>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</si>
  <si>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</si>
  <si>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</si>
  <si>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</si>
  <si>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</si>
  <si>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</si>
  <si>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</si>
  <si>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</si>
  <si>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</si>
  <si>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</si>
  <si>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</si>
  <si>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</si>
  <si>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</si>
  <si>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</si>
  <si>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</si>
  <si>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</si>
  <si>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</si>
  <si>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</si>
  <si>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</si>
  <si>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</si>
  <si>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</si>
  <si>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</si>
  <si>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</si>
  <si>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</si>
  <si>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</si>
  <si>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</si>
  <si>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</si>
  <si>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</si>
  <si>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</si>
  <si>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</si>
  <si>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</si>
  <si>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</si>
  <si>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</si>
  <si>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</si>
  <si>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</si>
  <si>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</si>
  <si>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</si>
  <si>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</si>
  <si>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</si>
  <si>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</si>
  <si>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</si>
  <si>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</si>
  <si>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</si>
  <si>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</si>
  <si>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</si>
  <si>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</si>
  <si>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</si>
  <si>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</si>
  <si>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</si>
  <si>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</si>
  <si>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</si>
  <si>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</si>
  <si>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</si>
  <si>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</si>
  <si>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</si>
  <si>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</si>
  <si>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</si>
  <si>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</si>
  <si>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</si>
  <si>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</si>
  <si>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</si>
  <si>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</si>
  <si>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</si>
  <si>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</si>
  <si>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</si>
  <si>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</si>
  <si>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</si>
  <si>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</si>
  <si>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</si>
  <si>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</si>
  <si>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</si>
  <si>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</si>
  <si>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</si>
  <si>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</si>
  <si>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</si>
  <si>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</si>
  <si>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</si>
  <si>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</si>
  <si>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</si>
  <si>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</si>
  <si>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</si>
  <si>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</si>
  <si>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</si>
  <si>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</si>
  <si>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</si>
  <si>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</si>
  <si>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</si>
  <si>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</si>
  <si>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</si>
  <si>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</si>
  <si>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</si>
  <si>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</si>
  <si>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</si>
  <si>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</si>
  <si>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</si>
  <si>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</si>
  <si>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</si>
  <si>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</si>
  <si>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</si>
  <si>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</si>
  <si>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</si>
  <si>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</si>
  <si>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</si>
  <si>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</si>
  <si>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</si>
  <si>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</si>
  <si>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</si>
  <si>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</si>
  <si>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</si>
  <si>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</si>
  <si>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</si>
  <si>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</si>
  <si>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</si>
  <si>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</si>
  <si>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</si>
  <si>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</si>
  <si>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</si>
  <si>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</si>
  <si>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</si>
  <si>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</si>
  <si>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</si>
  <si>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</si>
  <si>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</si>
  <si>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</si>
  <si>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</si>
  <si>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</si>
  <si>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</si>
  <si>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</si>
  <si>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</si>
  <si>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</si>
  <si>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</si>
  <si>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</si>
  <si>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</si>
  <si>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</si>
  <si>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</si>
  <si>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</si>
  <si>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</si>
  <si>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</si>
  <si>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</si>
  <si>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</si>
  <si>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</si>
  <si>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</si>
  <si>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</si>
  <si>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</si>
  <si>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</si>
  <si>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</si>
  <si>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</si>
  <si>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</si>
  <si>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</si>
  <si>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</si>
  <si>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</si>
  <si>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</si>
  <si>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</si>
  <si>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</si>
  <si>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</si>
  <si>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</si>
  <si>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</si>
  <si>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</si>
  <si>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</si>
  <si>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</si>
  <si>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</si>
  <si>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</si>
  <si>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</si>
  <si>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</si>
  <si>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</si>
  <si>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</si>
  <si>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</si>
  <si>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</si>
  <si>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</si>
  <si>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</si>
  <si>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</si>
  <si>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</si>
  <si>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</si>
  <si>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</si>
  <si>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</si>
  <si>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</si>
  <si>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</si>
  <si>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</si>
  <si>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</si>
  <si>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</si>
  <si>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</si>
  <si>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</si>
  <si>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</si>
  <si>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</si>
  <si>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</si>
  <si>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</si>
  <si>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</si>
  <si>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</si>
  <si>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</si>
  <si>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</si>
  <si>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</si>
  <si>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</si>
  <si>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</si>
  <si>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</si>
  <si>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</si>
  <si>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</si>
  <si>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</si>
  <si>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</si>
  <si>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</si>
  <si>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</si>
  <si>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</si>
  <si>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</si>
  <si>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</si>
  <si>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</si>
  <si>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</si>
  <si>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</si>
  <si>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</si>
  <si>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</si>
  <si>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</si>
  <si>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</si>
  <si>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</si>
  <si>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</si>
  <si>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</si>
  <si>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</si>
  <si>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</si>
  <si>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</si>
  <si>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</si>
  <si>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</si>
  <si>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</si>
  <si>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</si>
  <si>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</si>
  <si>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</si>
  <si>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</si>
  <si>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</si>
  <si>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</si>
  <si>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</si>
  <si>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</si>
  <si>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</si>
  <si>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</si>
  <si>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</si>
  <si>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</si>
  <si>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</si>
  <si>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</si>
  <si>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</si>
  <si>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</si>
  <si>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</si>
  <si>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</si>
  <si>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</si>
  <si>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</si>
  <si>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</si>
  <si>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</si>
  <si>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</si>
  <si>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</si>
  <si>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</si>
  <si>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</si>
  <si>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</si>
  <si>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</si>
  <si>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</si>
  <si>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</si>
  <si>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</si>
  <si>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</si>
  <si>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</si>
  <si>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</si>
  <si>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</si>
  <si>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</si>
  <si>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</si>
  <si>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</si>
  <si>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</si>
  <si>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</si>
  <si>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</si>
  <si>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</si>
  <si>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</si>
  <si>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</si>
  <si>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</si>
  <si>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</si>
  <si>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</si>
  <si>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</si>
  <si>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</si>
  <si>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</si>
  <si>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</si>
  <si>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</si>
  <si>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</si>
  <si>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</si>
  <si>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</si>
  <si>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</si>
  <si>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</si>
  <si>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</si>
  <si>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</si>
  <si>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</si>
  <si>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</si>
  <si>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</si>
  <si>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</si>
  <si>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</si>
  <si>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</si>
  <si>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</si>
  <si>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</si>
  <si>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</si>
  <si>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</si>
  <si>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</si>
  <si>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</si>
  <si>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</si>
  <si>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</si>
  <si>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</si>
  <si>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</si>
  <si>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</si>
  <si>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</si>
  <si>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</si>
  <si>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</si>
  <si>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</si>
  <si>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</si>
  <si>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</si>
  <si>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</si>
  <si>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</si>
  <si>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</si>
  <si>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</si>
  <si>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</si>
  <si>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</si>
  <si>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</si>
  <si>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</si>
  <si>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</si>
  <si>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</si>
  <si>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</si>
  <si>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</si>
  <si>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</si>
  <si>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</si>
  <si>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</si>
  <si>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</si>
  <si>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</si>
  <si>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</si>
  <si>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</si>
  <si>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</si>
  <si>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</si>
  <si>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</si>
  <si>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</si>
  <si>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</si>
  <si>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</si>
  <si>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</si>
  <si>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</si>
  <si>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</si>
  <si>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</si>
  <si>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</si>
  <si>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</si>
  <si>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</si>
  <si>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</si>
  <si>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</si>
  <si>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</si>
  <si>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</si>
  <si>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</si>
  <si>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</si>
  <si>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</si>
  <si>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</si>
  <si>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</si>
  <si>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</si>
  <si>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</si>
  <si>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</si>
  <si>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</si>
  <si>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</si>
  <si>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</si>
  <si>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</si>
  <si>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</si>
  <si>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</si>
  <si>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</si>
  <si>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</si>
  <si>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</si>
  <si>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</si>
  <si>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</si>
  <si>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</si>
  <si>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</si>
  <si>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</si>
  <si>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</si>
  <si>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</si>
  <si>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</si>
  <si>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</si>
  <si>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</si>
  <si>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</si>
  <si>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</si>
  <si>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</si>
  <si>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</si>
  <si>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</si>
  <si>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</si>
  <si>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</si>
  <si>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</si>
  <si>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</si>
  <si>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</si>
  <si>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</si>
  <si>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</si>
  <si>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</si>
  <si>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</si>
  <si>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</si>
  <si>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</si>
  <si>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</si>
  <si>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</si>
  <si>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</si>
  <si>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</si>
  <si>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</si>
  <si>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</si>
  <si>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</si>
  <si>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</si>
  <si>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</si>
  <si>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</si>
  <si>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</si>
  <si>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</si>
  <si>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</si>
  <si>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</si>
  <si>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</si>
  <si>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</si>
  <si>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</si>
  <si>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</si>
  <si>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</si>
  <si>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</si>
  <si>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</si>
  <si>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</si>
  <si>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</si>
  <si>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</si>
  <si>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</si>
  <si>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</si>
  <si>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</si>
  <si>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</si>
  <si>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</si>
  <si>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</si>
  <si>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</si>
  <si>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</si>
  <si>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</si>
  <si>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</si>
  <si>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</si>
  <si>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</si>
  <si>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</si>
  <si>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</si>
  <si>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</si>
  <si>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</si>
  <si>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</si>
  <si>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</si>
  <si>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</si>
  <si>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</si>
  <si>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</si>
  <si>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</si>
  <si>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</si>
  <si>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</si>
  <si>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</si>
  <si>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</si>
  <si>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</si>
  <si>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</si>
  <si>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</si>
  <si>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</si>
  <si>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</si>
  <si>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</si>
  <si>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</si>
  <si>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</si>
  <si>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</si>
  <si>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</si>
  <si>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</si>
  <si>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</si>
  <si>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</si>
  <si>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</si>
  <si>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</si>
  <si>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</si>
  <si>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</si>
  <si>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</si>
  <si>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</si>
  <si>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</si>
  <si>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</si>
  <si>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</si>
  <si>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</si>
  <si>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</si>
  <si>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</si>
  <si>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</si>
  <si>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</si>
  <si>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</si>
  <si>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</si>
  <si>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</si>
  <si>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</si>
  <si>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</si>
  <si>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</si>
  <si>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</si>
  <si>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</si>
  <si>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</si>
  <si>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</si>
  <si>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</si>
  <si>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</si>
  <si>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</si>
  <si>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</si>
  <si>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</si>
  <si>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</si>
  <si>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</si>
  <si>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</si>
  <si>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</si>
  <si>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</si>
  <si>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</si>
  <si>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</si>
  <si>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</si>
  <si>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</si>
  <si>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</si>
  <si>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</si>
  <si>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</si>
  <si>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</si>
  <si>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</si>
  <si>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</si>
  <si>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</si>
  <si>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</si>
  <si>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</si>
  <si>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</si>
  <si>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</si>
  <si>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</si>
  <si>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</si>
  <si>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</si>
  <si>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</si>
  <si>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</si>
  <si>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</si>
  <si>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</si>
  <si>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</si>
  <si>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</si>
  <si>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</si>
  <si>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</si>
  <si>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</si>
  <si>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</si>
  <si>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</si>
  <si>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</si>
  <si>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</si>
  <si>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</si>
  <si>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</si>
  <si>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</si>
  <si>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</si>
  <si>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</si>
  <si>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</si>
  <si>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</si>
  <si>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</si>
  <si>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</si>
  <si>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</si>
  <si>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</si>
  <si>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</si>
  <si>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</si>
  <si>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</si>
  <si>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</si>
  <si>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</si>
  <si>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</si>
  <si>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</si>
  <si>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</si>
  <si>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</si>
  <si>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</si>
  <si>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</si>
  <si>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</si>
  <si>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</si>
  <si>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</si>
  <si>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</si>
  <si>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</si>
  <si>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</si>
  <si>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</si>
  <si>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</si>
  <si>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</si>
  <si>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</si>
  <si>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</si>
  <si>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</si>
  <si>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</si>
  <si>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</si>
  <si>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</si>
  <si>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</si>
  <si>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</si>
  <si>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</si>
  <si>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</si>
  <si>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</si>
  <si>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</si>
  <si>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</si>
  <si>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</si>
  <si>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</si>
  <si>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</si>
  <si>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</si>
  <si>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</si>
  <si>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</si>
  <si>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</si>
  <si>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</si>
  <si>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</si>
  <si>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</si>
  <si>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</si>
  <si>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</si>
  <si>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</si>
  <si>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</si>
  <si>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</si>
  <si>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</si>
  <si>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</si>
  <si>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</si>
  <si>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</si>
  <si>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</si>
  <si>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</si>
  <si>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</si>
  <si>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</si>
  <si>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</si>
  <si>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</si>
  <si>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</si>
  <si>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</si>
  <si>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</si>
  <si>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</si>
  <si>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</si>
  <si>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</si>
  <si>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</si>
  <si>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</si>
  <si>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</si>
  <si>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</si>
  <si>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</si>
  <si>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</si>
  <si>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</si>
  <si>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</si>
  <si>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</si>
  <si>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</si>
  <si>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</si>
  <si>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</si>
  <si>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</si>
  <si>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</si>
  <si>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</si>
  <si>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</si>
  <si>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</si>
  <si>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</si>
  <si>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</si>
  <si>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</si>
  <si>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</si>
  <si>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</si>
  <si>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</si>
  <si>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</si>
  <si>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</si>
  <si>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</si>
  <si>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</si>
  <si>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</si>
  <si>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</si>
  <si>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</si>
  <si>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</si>
  <si>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</si>
  <si>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</si>
  <si>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</si>
  <si>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</si>
  <si>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</si>
  <si>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</si>
  <si>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</si>
  <si>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</si>
  <si>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</si>
  <si>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</si>
  <si>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</si>
  <si>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</si>
  <si>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</si>
  <si>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</si>
  <si>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</si>
  <si>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</si>
  <si>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</si>
  <si>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</si>
  <si>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</si>
  <si>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</si>
  <si>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</si>
  <si>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</si>
  <si>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</si>
  <si>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</si>
  <si>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</si>
  <si>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</si>
  <si>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</si>
  <si>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</si>
  <si>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</si>
  <si>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</si>
  <si>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</si>
  <si>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</si>
  <si>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</si>
  <si>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</si>
  <si>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</si>
  <si>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</si>
  <si>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</si>
  <si>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</si>
  <si>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</si>
  <si>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</si>
  <si>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</si>
  <si>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</si>
  <si>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</si>
  <si>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</si>
  <si>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</si>
  <si>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</si>
  <si>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</si>
  <si>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</si>
  <si>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</si>
  <si>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</si>
  <si>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</si>
  <si>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</si>
  <si>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</si>
  <si>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</si>
  <si>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</si>
  <si>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</si>
  <si>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</si>
  <si>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</si>
  <si>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</si>
  <si>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</si>
  <si>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</si>
  <si>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</si>
  <si>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</si>
  <si>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</si>
  <si>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</si>
  <si>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</si>
  <si>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</si>
  <si>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</si>
  <si>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</si>
  <si>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</si>
  <si>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</si>
  <si>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</si>
  <si>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</si>
  <si>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</si>
  <si>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</si>
  <si>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</si>
  <si>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</si>
  <si>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</si>
  <si>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</si>
  <si>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</si>
  <si>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</si>
  <si>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</si>
  <si>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</si>
  <si>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</si>
  <si>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</si>
  <si>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</si>
  <si>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</si>
  <si>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</si>
  <si>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</si>
  <si>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</si>
  <si>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</si>
  <si>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</si>
  <si>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</si>
  <si>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</si>
  <si>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</si>
  <si>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</si>
  <si>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</si>
  <si>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</si>
  <si>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</si>
  <si>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</si>
  <si>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</si>
  <si>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</si>
  <si>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</si>
  <si>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</si>
  <si>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</si>
  <si>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</si>
  <si>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</si>
  <si>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</si>
  <si>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</si>
  <si>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</si>
  <si>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</si>
  <si>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</si>
  <si>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</si>
  <si>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</si>
  <si>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</si>
  <si>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</si>
  <si>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</si>
  <si>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</si>
  <si>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</si>
  <si>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</si>
  <si>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</si>
  <si>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</si>
  <si>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</si>
  <si>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</si>
  <si>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</si>
  <si>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</si>
  <si>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</si>
  <si>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</si>
  <si>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</si>
  <si>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</si>
  <si>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</si>
  <si>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</si>
  <si>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</si>
  <si>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</si>
  <si>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</si>
  <si>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</si>
  <si>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</si>
  <si>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</si>
  <si>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</si>
  <si>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</si>
  <si>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</si>
  <si>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</si>
  <si>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</si>
  <si>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</si>
  <si>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</si>
  <si>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</si>
  <si>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</si>
  <si>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</si>
  <si>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</si>
  <si>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</si>
  <si>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</si>
  <si>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</si>
  <si>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</si>
  <si>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</si>
  <si>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</si>
  <si>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</si>
  <si>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</si>
  <si>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</si>
  <si>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</si>
  <si>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</si>
  <si>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</si>
  <si>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</si>
  <si>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</si>
  <si>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</si>
  <si>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</si>
  <si>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</si>
  <si>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</si>
  <si>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</si>
  <si>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</si>
  <si>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</si>
  <si>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</si>
  <si>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</si>
  <si>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</si>
  <si>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</si>
  <si>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</si>
  <si>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</si>
  <si>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</si>
  <si>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</si>
  <si>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</si>
  <si>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</si>
  <si>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</si>
  <si>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</si>
  <si>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</si>
  <si>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</si>
  <si>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</si>
  <si>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</si>
  <si>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</si>
  <si>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</si>
  <si>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</si>
  <si>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</si>
  <si>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</si>
  <si>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</si>
  <si>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</si>
  <si>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</si>
  <si>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</si>
  <si>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</si>
  <si>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</si>
  <si>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</si>
  <si>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</si>
  <si>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</si>
  <si>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</si>
  <si>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</si>
  <si>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</si>
  <si>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</si>
  <si>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</si>
  <si>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</si>
  <si>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</si>
  <si>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</si>
  <si>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</si>
  <si>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</si>
  <si>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</si>
  <si>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</si>
  <si>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</si>
  <si>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</si>
  <si>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</si>
  <si>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</si>
  <si>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</si>
  <si>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</si>
  <si>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</si>
  <si>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</si>
  <si>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</si>
  <si>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</si>
  <si>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</si>
  <si>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</si>
  <si>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</si>
  <si>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</si>
  <si>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</si>
  <si>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</si>
  <si>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</si>
  <si>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</si>
  <si>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</si>
  <si>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</si>
  <si>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</si>
  <si>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</si>
  <si>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</si>
  <si>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</si>
  <si>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</si>
  <si>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</si>
  <si>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</si>
  <si>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</si>
  <si>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</si>
  <si>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</si>
  <si>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</si>
  <si>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</si>
  <si>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</si>
  <si>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</si>
  <si>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</si>
  <si>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</si>
  <si>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</si>
  <si>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</si>
  <si>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</si>
  <si>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</si>
  <si>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</si>
  <si>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</si>
  <si>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</si>
  <si>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</si>
  <si>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</si>
  <si>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</si>
  <si>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</si>
  <si>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</si>
  <si>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</si>
  <si>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</si>
  <si>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</si>
  <si>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</si>
  <si>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</si>
  <si>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</si>
  <si>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</si>
  <si>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</si>
  <si>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</si>
  <si>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</si>
  <si>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</si>
  <si>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</si>
  <si>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</si>
  <si>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</si>
  <si>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</si>
  <si>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</si>
  <si>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</si>
  <si>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</si>
  <si>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</si>
  <si>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</si>
  <si>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</si>
  <si>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</si>
  <si>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</si>
  <si>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</si>
  <si>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</si>
  <si>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</si>
  <si>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</si>
  <si>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</si>
  <si>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</si>
  <si>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</si>
  <si>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</si>
  <si>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</si>
  <si>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</si>
  <si>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</si>
  <si>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</si>
  <si>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</si>
  <si>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</si>
  <si>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</si>
  <si>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</si>
  <si>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</si>
  <si>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</si>
  <si>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</si>
  <si>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</si>
  <si>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</si>
  <si>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</si>
  <si>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</si>
  <si>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</si>
  <si>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</si>
  <si>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</si>
  <si>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</si>
  <si>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</si>
  <si>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</si>
  <si>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</si>
  <si>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</si>
  <si>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</si>
  <si>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</si>
  <si>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</si>
  <si>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</si>
  <si>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</si>
  <si>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</si>
  <si>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</si>
  <si>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</si>
  <si>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</si>
  <si>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</si>
  <si>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</si>
  <si>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</si>
  <si>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</si>
  <si>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</si>
  <si>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</si>
  <si>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</si>
  <si>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</si>
  <si>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</si>
  <si>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</si>
  <si>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</si>
  <si>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</si>
  <si>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</si>
  <si>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</si>
  <si>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</si>
  <si>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</si>
  <si>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</si>
  <si>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</si>
  <si>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</si>
  <si>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</si>
  <si>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</si>
  <si>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</si>
  <si>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</si>
  <si>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</si>
  <si>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</si>
  <si>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</si>
  <si>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</si>
  <si>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</si>
  <si>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</si>
  <si>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</si>
  <si>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</si>
  <si>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</si>
  <si>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</si>
  <si>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</si>
  <si>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</si>
  <si>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</si>
  <si>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</si>
  <si>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</si>
  <si>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</si>
  <si>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</si>
  <si>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</si>
  <si>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</si>
  <si>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</si>
  <si>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</si>
  <si>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</si>
  <si>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</si>
  <si>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</si>
  <si>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</si>
  <si>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</si>
  <si>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</si>
  <si>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</si>
  <si>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</si>
  <si>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</si>
  <si>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</si>
  <si>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</si>
  <si>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</si>
  <si>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</si>
  <si>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</si>
  <si>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</si>
  <si>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</si>
  <si>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</si>
  <si>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</si>
  <si>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</si>
  <si>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</si>
  <si>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</si>
  <si>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</si>
  <si>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</si>
  <si>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</si>
  <si>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</si>
  <si>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</si>
  <si>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</si>
  <si>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</si>
  <si>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</si>
  <si>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</si>
  <si>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</si>
  <si>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</si>
  <si>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</si>
  <si>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</si>
  <si>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</si>
  <si>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</si>
  <si>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</si>
  <si>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</si>
  <si>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</si>
  <si>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</si>
  <si>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</si>
  <si>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</si>
  <si>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</si>
  <si>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</si>
  <si>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</si>
  <si>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</si>
  <si>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</si>
  <si>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</si>
  <si>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</si>
  <si>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</si>
  <si>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</si>
  <si>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</si>
  <si>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</si>
  <si>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</si>
  <si>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</si>
  <si>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</si>
  <si>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</si>
  <si>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</si>
  <si>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</si>
  <si>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</si>
  <si>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</si>
  <si>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</si>
  <si>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</si>
  <si>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</si>
  <si>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</si>
  <si>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</si>
  <si>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</si>
  <si>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</si>
  <si>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</si>
  <si>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</si>
  <si>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</si>
  <si>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</si>
  <si>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</si>
  <si>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</si>
  <si>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</si>
  <si>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</si>
  <si>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</si>
  <si>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</si>
  <si>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</si>
  <si>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</si>
  <si>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</si>
  <si>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</si>
  <si>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</si>
  <si>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</si>
  <si>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</si>
  <si>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</si>
  <si>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</si>
  <si>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</si>
  <si>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</si>
  <si>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</si>
  <si>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</si>
  <si>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</si>
  <si>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</si>
  <si>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</si>
  <si>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</si>
  <si>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</si>
  <si>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</si>
  <si>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</si>
  <si>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</si>
  <si>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</si>
  <si>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</si>
  <si>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</si>
  <si>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</si>
  <si>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</si>
  <si>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</si>
  <si>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</si>
  <si>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</si>
  <si>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</si>
  <si>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</si>
  <si>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</si>
  <si>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</si>
  <si>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</si>
  <si>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</si>
  <si>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</si>
  <si>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</si>
  <si>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</si>
  <si>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</si>
  <si>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</si>
  <si>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</si>
  <si>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</si>
  <si>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</si>
  <si>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</si>
  <si>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</si>
  <si>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</si>
  <si>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</si>
  <si>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</si>
  <si>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</si>
  <si>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</si>
  <si>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</si>
  <si>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</si>
  <si>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</si>
  <si>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</si>
  <si>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</si>
  <si>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</si>
  <si>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</si>
  <si>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</si>
  <si>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</si>
  <si>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</si>
  <si>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</si>
  <si>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</si>
  <si>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</si>
  <si>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</si>
  <si>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</si>
  <si>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</si>
  <si>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</si>
  <si>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</si>
  <si>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</si>
  <si>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</si>
  <si>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</si>
  <si>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</si>
  <si>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</si>
  <si>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</si>
  <si>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</si>
  <si>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</si>
  <si>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</si>
  <si>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</si>
  <si>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</si>
  <si>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</si>
  <si>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</si>
  <si>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</si>
  <si>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</si>
  <si>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</si>
  <si>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</si>
  <si>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</si>
  <si>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</si>
  <si>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</si>
  <si>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</si>
  <si>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</si>
  <si>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</si>
  <si>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</si>
  <si>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</si>
  <si>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</si>
  <si>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</si>
  <si>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</si>
  <si>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</si>
  <si>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</si>
  <si>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</si>
  <si>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</si>
  <si>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</si>
  <si>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</si>
  <si>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</si>
  <si>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</si>
  <si>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</si>
  <si>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</si>
  <si>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</si>
  <si>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</si>
  <si>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</si>
  <si>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</si>
  <si>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</si>
  <si>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</si>
  <si>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</si>
  <si>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</si>
  <si>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</si>
  <si>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</si>
  <si>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</si>
  <si>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</si>
  <si>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</si>
  <si>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</si>
  <si>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</si>
  <si>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</si>
  <si>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</si>
  <si>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</si>
  <si>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</si>
  <si>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</si>
  <si>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</si>
  <si>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</si>
  <si>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</si>
  <si>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</si>
  <si>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</si>
  <si>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</si>
  <si>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</si>
  <si>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</si>
  <si>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</si>
  <si>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</si>
  <si>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</si>
  <si>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</si>
  <si>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</si>
  <si>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</si>
  <si>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</si>
  <si>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</si>
  <si>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</si>
  <si>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</si>
  <si>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</si>
  <si>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</si>
  <si>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</si>
  <si>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</si>
  <si>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</si>
  <si>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</si>
  <si>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</si>
  <si>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</si>
  <si>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</si>
  <si>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</si>
  <si>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</si>
  <si>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</si>
  <si>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</si>
  <si>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</si>
  <si>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</si>
  <si>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</si>
  <si>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</si>
  <si>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</si>
  <si>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</si>
  <si>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</si>
  <si>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</si>
  <si>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</si>
  <si>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</si>
  <si>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</si>
  <si>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</si>
  <si>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</si>
  <si>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</si>
  <si>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</si>
  <si>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</si>
  <si>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</si>
  <si>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</si>
  <si>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</si>
  <si>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</si>
  <si>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</si>
  <si>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</si>
  <si>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</si>
  <si>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</si>
  <si>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</si>
  <si>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</si>
  <si>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</si>
  <si>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</si>
  <si>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</si>
  <si>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</si>
  <si>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</si>
  <si>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</si>
  <si>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</si>
  <si>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</si>
  <si>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</si>
  <si>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</si>
  <si>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</si>
  <si>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</si>
  <si>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</si>
  <si>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</si>
  <si>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</si>
  <si>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</si>
  <si>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</si>
  <si>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</si>
  <si>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</si>
  <si>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</si>
  <si>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</si>
  <si>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</si>
  <si>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</si>
  <si>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</si>
  <si>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</si>
  <si>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</si>
  <si>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</si>
  <si>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</si>
  <si>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</si>
  <si>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</si>
  <si>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</si>
  <si>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</si>
  <si>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</si>
  <si>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</si>
  <si>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</si>
  <si>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</si>
  <si>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</si>
  <si>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</si>
  <si>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</si>
  <si>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</si>
  <si>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</si>
  <si>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</si>
  <si>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</si>
  <si>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</si>
  <si>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</si>
  <si>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</si>
  <si>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</si>
  <si>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</si>
  <si>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</si>
  <si>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</si>
  <si>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</si>
  <si>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</si>
  <si>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</si>
  <si>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</si>
  <si>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</si>
  <si>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</si>
  <si>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</si>
  <si>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</si>
  <si>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</si>
  <si>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</si>
  <si>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</si>
  <si>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</si>
  <si>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</si>
  <si>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</si>
  <si>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</si>
  <si>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</si>
  <si>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</si>
  <si>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</si>
  <si>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</si>
  <si>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</si>
  <si>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</si>
  <si>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</si>
  <si>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</si>
  <si>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</si>
  <si>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</si>
  <si>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</si>
  <si>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</si>
  <si>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</si>
  <si>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</si>
  <si>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</si>
  <si>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</si>
  <si>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</si>
  <si>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</si>
  <si>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</si>
  <si>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</si>
  <si>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</si>
  <si>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</si>
  <si>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</si>
  <si>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</si>
  <si>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</si>
  <si>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</si>
  <si>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</si>
  <si>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</si>
  <si>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</si>
  <si>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</si>
  <si>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</si>
  <si>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</si>
  <si>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</si>
  <si>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</si>
  <si>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</si>
  <si>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</si>
  <si>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</si>
  <si>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</si>
  <si>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</si>
  <si>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</si>
  <si>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</si>
  <si>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</si>
  <si>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</si>
  <si>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</si>
  <si>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</si>
  <si>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</si>
  <si>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</si>
  <si>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</si>
  <si>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</si>
  <si>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</si>
  <si>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</si>
  <si>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</si>
  <si>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</si>
  <si>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</si>
  <si>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</si>
  <si>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</si>
  <si>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</si>
  <si>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</si>
  <si>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</si>
  <si>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</si>
  <si>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</si>
  <si>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</si>
  <si>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</si>
  <si>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</si>
  <si>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</si>
  <si>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</si>
  <si>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</si>
  <si>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</si>
  <si>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</si>
  <si>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</si>
  <si>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</si>
  <si>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</si>
  <si>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</si>
  <si>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</si>
  <si>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</si>
  <si>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</si>
  <si>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</si>
  <si>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</si>
  <si>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</si>
  <si>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</si>
  <si>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</si>
  <si>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</si>
  <si>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</si>
  <si>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</si>
  <si>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</si>
  <si>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</si>
  <si>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</si>
  <si>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</si>
  <si>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</si>
  <si>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</si>
  <si>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</si>
  <si>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</si>
  <si>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</si>
  <si>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</si>
  <si>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</si>
  <si>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</si>
  <si>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</si>
  <si>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</si>
  <si>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</si>
  <si>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</si>
  <si>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</si>
  <si>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</si>
  <si>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</si>
  <si>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</si>
  <si>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</si>
  <si>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</si>
  <si>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</si>
  <si>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</si>
  <si>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</si>
  <si>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</si>
  <si>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</si>
  <si>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</si>
  <si>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</si>
  <si>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</si>
  <si>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</si>
  <si>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</si>
  <si>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</si>
  <si>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</si>
  <si>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</si>
  <si>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</si>
  <si>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</si>
  <si>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</si>
  <si>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</si>
  <si>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</si>
  <si>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</si>
  <si>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</si>
  <si>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</si>
  <si>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</si>
  <si>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</si>
  <si>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</si>
  <si>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</si>
  <si>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</si>
  <si>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</si>
  <si>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</si>
  <si>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</si>
  <si>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</si>
  <si>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</si>
  <si>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</si>
  <si>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</si>
  <si>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</si>
  <si>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</si>
  <si>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</si>
  <si>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</si>
  <si>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</si>
  <si>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</si>
  <si>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</si>
  <si>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</si>
  <si>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</si>
  <si>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</si>
  <si>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</si>
  <si>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</si>
  <si>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</si>
  <si>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</si>
  <si>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</si>
  <si>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</si>
  <si>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</si>
  <si>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</si>
  <si>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</si>
  <si>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</si>
  <si>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</si>
  <si>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</si>
  <si>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</si>
  <si>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</si>
  <si>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</si>
  <si>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</si>
  <si>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</si>
  <si>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</si>
  <si>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</si>
  <si>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</si>
  <si>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</si>
  <si>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</si>
  <si>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</si>
  <si>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</si>
  <si>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</si>
  <si>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</si>
  <si>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</si>
  <si>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</si>
  <si>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</si>
  <si>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</si>
  <si>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</si>
  <si>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</si>
  <si>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</si>
  <si>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</si>
  <si>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</si>
  <si>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</si>
  <si>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</si>
  <si>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</si>
  <si>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</si>
  <si>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</si>
  <si>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</si>
  <si>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</si>
  <si>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</si>
  <si>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</si>
  <si>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</si>
  <si>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</si>
  <si>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</si>
  <si>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</si>
  <si>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</si>
  <si>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</si>
  <si>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</si>
  <si>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</si>
  <si>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</si>
  <si>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</si>
  <si>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</si>
  <si>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</si>
  <si>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</si>
  <si>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</si>
  <si>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</si>
  <si>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</si>
  <si>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</si>
  <si>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</si>
  <si>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</si>
  <si>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</si>
  <si>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</si>
  <si>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</si>
  <si>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</si>
  <si>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</si>
  <si>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</si>
  <si>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</si>
  <si>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</si>
  <si>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</si>
  <si>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</si>
  <si>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</si>
  <si>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</si>
  <si>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</si>
  <si>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</si>
  <si>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</si>
  <si>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</si>
  <si>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</si>
  <si>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</si>
  <si>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</si>
  <si>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</si>
  <si>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</si>
  <si>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</si>
  <si>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</si>
  <si>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</si>
  <si>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</si>
  <si>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</si>
  <si>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</si>
  <si>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</si>
  <si>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</si>
  <si>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</si>
  <si>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</si>
  <si>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</si>
  <si>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</si>
  <si>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</si>
  <si>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</si>
  <si>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</si>
  <si>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</si>
  <si>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</si>
  <si>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</si>
  <si>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</si>
  <si>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</si>
  <si>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</si>
  <si>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</si>
  <si>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</si>
  <si>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</si>
  <si>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</si>
  <si>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</si>
  <si>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</si>
  <si>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</si>
  <si>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</si>
  <si>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</si>
  <si>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</si>
  <si>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</si>
  <si>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</si>
  <si>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</si>
  <si>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</si>
  <si>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</si>
  <si>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</si>
  <si>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</si>
  <si>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</si>
  <si>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</si>
  <si>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</si>
  <si>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</si>
  <si>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</si>
  <si>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</si>
  <si>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</si>
  <si>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</si>
  <si>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</si>
  <si>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</si>
  <si>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</si>
  <si>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</si>
  <si>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</si>
  <si>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</si>
  <si>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</si>
  <si>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</si>
  <si>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</si>
  <si>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</si>
  <si>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</si>
  <si>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</si>
  <si>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</si>
  <si>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</si>
  <si>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</si>
  <si>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</si>
  <si>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</si>
  <si>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</si>
  <si>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</si>
  <si>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</si>
  <si>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</si>
  <si>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</si>
  <si>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</si>
  <si>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</si>
  <si>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</si>
  <si>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</si>
  <si>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</si>
  <si>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</si>
  <si>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</si>
  <si>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</si>
  <si>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</si>
  <si>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</si>
  <si>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</si>
  <si>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</si>
  <si>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</si>
  <si>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</si>
  <si>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</si>
  <si>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</si>
  <si>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</si>
  <si>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</si>
  <si>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</si>
  <si>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</si>
  <si>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</si>
  <si>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</si>
  <si>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</si>
  <si>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</si>
  <si>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</si>
  <si>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</si>
  <si>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</si>
  <si>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</si>
  <si>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</si>
  <si>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</si>
  <si>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</si>
  <si>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</si>
  <si>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</si>
  <si>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</si>
  <si>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</si>
  <si>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</si>
  <si>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</si>
  <si>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</si>
  <si>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</si>
  <si>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</si>
  <si>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</si>
  <si>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</si>
  <si>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</si>
  <si>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</si>
  <si>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</si>
  <si>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</si>
  <si>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</si>
  <si>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</si>
  <si>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</si>
  <si>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</si>
  <si>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</si>
  <si>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</si>
  <si>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</si>
  <si>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</si>
  <si>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</si>
  <si>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</si>
  <si>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</si>
  <si>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</si>
  <si>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</si>
  <si>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</si>
  <si>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</si>
  <si>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</si>
  <si>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</si>
  <si>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</si>
  <si>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</si>
  <si>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</si>
  <si>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</si>
  <si>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</si>
  <si>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</si>
  <si>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</si>
  <si>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</si>
  <si>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</si>
  <si>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</si>
  <si>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</si>
  <si>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</si>
  <si>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</si>
  <si>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</si>
  <si>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</si>
  <si>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</si>
  <si>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</si>
  <si>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</si>
  <si>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</si>
  <si>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</si>
  <si>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</si>
  <si>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</si>
  <si>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</si>
  <si>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</si>
  <si>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</si>
  <si>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</si>
  <si>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</si>
  <si>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</si>
  <si>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</si>
  <si>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</si>
  <si>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</si>
  <si>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</si>
  <si>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</si>
  <si>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</si>
  <si>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</si>
  <si>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</si>
  <si>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</si>
  <si>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</si>
  <si>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</si>
  <si>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</si>
  <si>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</si>
  <si>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</si>
  <si>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</si>
  <si>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</si>
  <si>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</si>
  <si>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</si>
  <si>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</si>
  <si>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</si>
  <si>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</si>
  <si>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</si>
  <si>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</si>
  <si>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</si>
  <si>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</si>
  <si>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</si>
  <si>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</si>
  <si>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</si>
  <si>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</si>
  <si>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</si>
  <si>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</si>
  <si>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</si>
  <si>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</si>
  <si>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</si>
  <si>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</si>
  <si>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</si>
  <si>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</si>
  <si>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</si>
  <si>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</si>
  <si>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</si>
  <si>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</si>
  <si>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</si>
  <si>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</si>
  <si>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</si>
  <si>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</si>
  <si>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</si>
  <si>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</si>
  <si>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</si>
  <si>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</si>
  <si>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</si>
  <si>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</si>
  <si>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</si>
  <si>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</si>
  <si>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</si>
  <si>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</si>
  <si>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</si>
  <si>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</si>
  <si>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</si>
  <si>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</si>
  <si>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</si>
  <si>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</si>
  <si>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</si>
  <si>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</si>
  <si>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</si>
  <si>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</si>
  <si>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</si>
  <si>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</si>
  <si>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</si>
  <si>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</si>
  <si>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</si>
  <si>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</si>
  <si>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</si>
  <si>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</si>
  <si>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</si>
  <si>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</si>
  <si>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</si>
  <si>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</si>
  <si>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</si>
  <si>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</si>
  <si>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</si>
  <si>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</si>
  <si>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</si>
  <si>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</si>
  <si>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</si>
  <si>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</si>
  <si>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</si>
  <si>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</si>
  <si>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</si>
  <si>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</si>
  <si>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</si>
  <si>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</si>
  <si>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</si>
  <si>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</si>
  <si>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</si>
  <si>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</si>
  <si>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</si>
  <si>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</si>
  <si>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</si>
  <si>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</si>
  <si>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</si>
  <si>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</si>
  <si>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</si>
  <si>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</si>
  <si>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</si>
  <si>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</si>
  <si>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</si>
  <si>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</si>
  <si>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</si>
  <si>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</si>
  <si>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</si>
  <si>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</si>
  <si>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</si>
  <si>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</si>
  <si>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</si>
  <si>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</si>
  <si>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</si>
  <si>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</si>
  <si>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</si>
  <si>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</si>
  <si>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</si>
  <si>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</si>
  <si>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</si>
  <si>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</si>
  <si>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</si>
  <si>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</si>
  <si>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</si>
  <si>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</si>
  <si>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</si>
  <si>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</si>
  <si>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</si>
  <si>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</si>
  <si>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</si>
  <si>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</si>
  <si>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</si>
  <si>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</si>
  <si>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</si>
  <si>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</si>
  <si>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</si>
  <si>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</si>
  <si>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</si>
  <si>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</si>
  <si>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</si>
  <si>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</si>
  <si>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</si>
  <si>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</si>
  <si>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</si>
  <si>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</si>
  <si>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</si>
  <si>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</si>
  <si>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</si>
  <si>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</si>
  <si>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</si>
  <si>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</si>
  <si>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</si>
  <si>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</si>
  <si>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</si>
  <si>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</si>
  <si>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</si>
  <si>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</si>
  <si>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</si>
  <si>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</si>
  <si>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</si>
  <si>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</si>
  <si>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</si>
  <si>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</si>
  <si>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</si>
  <si>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</si>
  <si>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</si>
  <si>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</si>
  <si>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</si>
  <si>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</si>
  <si>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</si>
  <si>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</si>
  <si>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</si>
  <si>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</si>
  <si>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</si>
  <si>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</si>
  <si>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</si>
  <si>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</si>
  <si>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</si>
  <si>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</si>
  <si>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</si>
  <si>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</si>
  <si>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</si>
  <si>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</si>
  <si>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</si>
  <si>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</si>
  <si>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</si>
  <si>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</si>
  <si>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</si>
  <si>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</si>
  <si>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</si>
  <si>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</si>
  <si>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</si>
  <si>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</si>
  <si>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</si>
  <si>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</si>
  <si>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</si>
  <si>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</si>
  <si>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</si>
  <si>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</si>
  <si>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</si>
  <si>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</si>
  <si>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</si>
  <si>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</si>
  <si>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</si>
  <si>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</si>
  <si>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</si>
  <si>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</si>
  <si>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</si>
  <si>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</si>
  <si>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</si>
  <si>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</si>
  <si>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</si>
  <si>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</si>
  <si>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</si>
  <si>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</si>
  <si>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</si>
  <si>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</si>
  <si>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</si>
  <si>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</si>
  <si>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</si>
  <si>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</si>
  <si>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</si>
  <si>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</si>
  <si>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</si>
  <si>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</si>
  <si>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</si>
  <si>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</si>
  <si>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</si>
  <si>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</si>
  <si>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</si>
  <si>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</si>
  <si>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</si>
  <si>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</si>
  <si>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</si>
  <si>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</si>
  <si>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</si>
  <si>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</si>
  <si>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</si>
  <si>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</si>
  <si>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</si>
  <si>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</si>
  <si>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</si>
  <si>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</si>
  <si>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</si>
  <si>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</si>
  <si>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</si>
  <si>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</si>
  <si>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</si>
  <si>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</si>
  <si>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</si>
  <si>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</si>
  <si>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</si>
  <si>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</si>
  <si>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</si>
  <si>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</si>
  <si>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</si>
  <si>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</si>
  <si>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</si>
  <si>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</si>
  <si>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</si>
  <si>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</si>
  <si>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</si>
  <si>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</si>
  <si>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</si>
  <si>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</si>
  <si>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</si>
  <si>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</si>
  <si>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</si>
  <si>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</si>
  <si>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</si>
  <si>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</si>
  <si>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</si>
  <si>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</si>
  <si>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</si>
  <si>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</si>
  <si>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</si>
  <si>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</si>
  <si>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</si>
  <si>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</si>
  <si>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</si>
  <si>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</si>
  <si>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</si>
  <si>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</si>
  <si>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</si>
  <si>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</si>
  <si>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</si>
  <si>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</si>
  <si>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</si>
  <si>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</si>
  <si>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</si>
  <si>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</si>
  <si>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</si>
  <si>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</si>
  <si>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</si>
  <si>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</si>
  <si>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</si>
  <si>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</si>
  <si>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</si>
  <si>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</si>
  <si>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</si>
  <si>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</si>
  <si>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</si>
  <si>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</si>
  <si>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</si>
  <si>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</si>
  <si>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</si>
  <si>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</si>
  <si>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</si>
  <si>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</si>
  <si>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</si>
  <si>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</si>
  <si>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</si>
  <si>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</si>
  <si>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</si>
  <si>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</si>
  <si>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</si>
  <si>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</si>
  <si>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</si>
  <si>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</si>
  <si>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</si>
  <si>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</si>
  <si>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</si>
  <si>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</si>
  <si>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</si>
  <si>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</si>
  <si>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</si>
  <si>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</si>
  <si>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</si>
  <si>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</si>
  <si>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</si>
  <si>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</si>
  <si>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</si>
  <si>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</si>
  <si>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</si>
  <si>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</si>
  <si>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</si>
  <si>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</si>
  <si>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</si>
  <si>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</si>
  <si>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</si>
  <si>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</si>
  <si>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</si>
  <si>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</si>
  <si>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</si>
  <si>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</si>
  <si>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</si>
  <si>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</si>
  <si>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</si>
  <si>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</si>
  <si>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</si>
  <si>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</si>
  <si>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</si>
  <si>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</si>
  <si>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</si>
  <si>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</si>
  <si>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</si>
  <si>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</si>
  <si>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</si>
  <si>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</si>
  <si>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</si>
  <si>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</si>
  <si>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</si>
  <si>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</si>
  <si>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</si>
  <si>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</si>
  <si>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</si>
  <si>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</si>
  <si>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</si>
  <si>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</si>
  <si>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</si>
  <si>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</si>
  <si>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</si>
  <si>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</si>
  <si>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</si>
  <si>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</si>
  <si>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</si>
  <si>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</si>
  <si>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</si>
  <si>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</si>
  <si>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</si>
  <si>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</si>
  <si>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</si>
  <si>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</si>
  <si>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</si>
  <si>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</si>
  <si>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</si>
  <si>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</si>
  <si>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</si>
  <si>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</si>
  <si>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</si>
  <si>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</si>
  <si>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</si>
  <si>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</si>
  <si>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</si>
  <si>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</si>
  <si>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</si>
  <si>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</si>
  <si>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</si>
  <si>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</si>
  <si>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</si>
  <si>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</si>
  <si>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</si>
  <si>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</si>
  <si>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</si>
  <si>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</si>
  <si>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</si>
  <si>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</si>
  <si>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</si>
  <si>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</si>
  <si>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</si>
  <si>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</si>
  <si>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</si>
  <si>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</si>
  <si>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</si>
  <si>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</si>
  <si>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</si>
  <si>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</si>
  <si>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</si>
  <si>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</si>
  <si>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</si>
  <si>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</si>
  <si>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</si>
  <si>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</si>
  <si>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</si>
  <si>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</si>
  <si>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</si>
  <si>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</si>
  <si>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</si>
  <si>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</si>
  <si>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</si>
  <si>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</si>
  <si>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</si>
  <si>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</si>
  <si>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</si>
  <si>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</si>
  <si>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</si>
  <si>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</si>
  <si>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</si>
  <si>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</si>
  <si>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</si>
  <si>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</si>
  <si>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</si>
  <si>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</si>
  <si>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</si>
  <si>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</si>
  <si>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</si>
  <si>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</si>
  <si>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</si>
  <si>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</si>
  <si>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</si>
  <si>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</si>
  <si>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</si>
  <si>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</si>
  <si>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</si>
  <si>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</si>
  <si>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</si>
  <si>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</si>
  <si>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</si>
  <si>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</si>
  <si>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</si>
  <si>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</si>
  <si>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</si>
  <si>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</si>
  <si>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</si>
  <si>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</si>
  <si>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</si>
  <si>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</si>
  <si>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</si>
  <si>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</si>
  <si>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</si>
  <si>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</si>
  <si>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</si>
  <si>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</si>
  <si>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</si>
  <si>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</si>
  <si>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</si>
  <si>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</si>
  <si>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</si>
  <si>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</si>
  <si>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</si>
  <si>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</si>
  <si>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</si>
  <si>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</si>
  <si>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</si>
  <si>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</si>
  <si>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</si>
  <si>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</si>
  <si>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</si>
  <si>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</si>
  <si>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</si>
  <si>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</si>
  <si>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</si>
  <si>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</si>
  <si>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</si>
  <si>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</si>
  <si>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</si>
  <si>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</si>
  <si>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</si>
  <si>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</si>
  <si>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</si>
  <si>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</si>
  <si>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</si>
  <si>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</si>
  <si>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</si>
  <si>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</si>
  <si>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</si>
  <si>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</si>
  <si>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</si>
  <si>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</si>
  <si>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</si>
  <si>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</si>
  <si>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</si>
  <si>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</si>
  <si>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</si>
  <si>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</si>
  <si>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</si>
  <si>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</si>
  <si>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</si>
  <si>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</si>
  <si>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</si>
  <si>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</si>
  <si>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</si>
  <si>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</si>
  <si>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</si>
  <si>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</si>
  <si>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</si>
  <si>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</si>
  <si>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</si>
  <si>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</si>
  <si>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</si>
  <si>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</si>
  <si>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</si>
  <si>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</si>
  <si>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</si>
  <si>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</si>
  <si>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</si>
  <si>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</si>
  <si>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</si>
  <si>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</si>
  <si>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</si>
  <si>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</si>
  <si>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</si>
  <si>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</si>
  <si>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</si>
  <si>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</si>
  <si>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</si>
  <si>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</si>
  <si>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</si>
  <si>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</si>
  <si>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</si>
  <si>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</si>
  <si>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</si>
  <si>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</si>
  <si>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</si>
  <si>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</si>
  <si>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</si>
  <si>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</si>
  <si>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</si>
  <si>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</si>
  <si>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</si>
  <si>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</si>
  <si>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</si>
  <si>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</si>
  <si>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</si>
  <si>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</si>
  <si>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</si>
  <si>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</si>
  <si>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</si>
  <si>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</si>
  <si>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</si>
  <si>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</si>
  <si>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</si>
  <si>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</si>
  <si>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</si>
  <si>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</si>
  <si>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</si>
  <si>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</si>
  <si>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</si>
  <si>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</si>
  <si>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</si>
  <si>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</si>
  <si>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</si>
  <si>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</si>
  <si>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</si>
  <si>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</si>
  <si>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</si>
  <si>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</si>
  <si>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</si>
  <si>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</si>
  <si>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</si>
  <si>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</si>
  <si>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</si>
  <si>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</si>
  <si>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</si>
  <si>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</si>
  <si>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</si>
  <si>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</si>
  <si>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</si>
  <si>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</si>
  <si>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</si>
  <si>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</si>
  <si>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</si>
  <si>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</si>
  <si>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</si>
  <si>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</si>
  <si>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</si>
  <si>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</si>
  <si>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</si>
  <si>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</si>
  <si>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</si>
  <si>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</si>
  <si>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</si>
  <si>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</si>
  <si>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</si>
  <si>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</si>
  <si>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</si>
  <si>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</si>
  <si>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</si>
  <si>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</si>
  <si>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</si>
  <si>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</si>
  <si>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</si>
  <si>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</si>
  <si>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</si>
  <si>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</si>
  <si>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</si>
  <si>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</si>
  <si>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</si>
  <si>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</si>
  <si>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</si>
  <si>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</si>
  <si>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</si>
  <si>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</si>
  <si>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</si>
  <si>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</si>
  <si>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</si>
  <si>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</si>
  <si>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</si>
  <si>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</si>
  <si>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</si>
  <si>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</si>
  <si>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</si>
  <si>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</si>
  <si>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</si>
  <si>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</si>
  <si>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</si>
  <si>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</si>
  <si>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</si>
  <si>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</si>
  <si>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</si>
  <si>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</si>
  <si>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</si>
  <si>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</si>
  <si>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</si>
  <si>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</si>
  <si>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</si>
  <si>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</si>
  <si>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</si>
  <si>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</si>
  <si>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</si>
  <si>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</si>
  <si>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</si>
  <si>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</si>
  <si>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</si>
  <si>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</si>
  <si>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</si>
  <si>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</si>
  <si>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</si>
  <si>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</si>
  <si>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</si>
  <si>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</si>
  <si>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</si>
  <si>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</si>
  <si>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</si>
  <si>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</si>
  <si>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</si>
  <si>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</si>
  <si>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</si>
  <si>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</si>
  <si>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</si>
  <si>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</si>
  <si>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</si>
  <si>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</si>
  <si>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</si>
  <si>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</si>
  <si>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</si>
  <si>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</si>
  <si>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</si>
  <si>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</si>
  <si>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</si>
  <si>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</si>
  <si>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</si>
  <si>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</si>
  <si>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</si>
  <si>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</si>
  <si>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</si>
  <si>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</si>
  <si>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</si>
  <si>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</si>
  <si>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</si>
  <si>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</si>
  <si>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</si>
  <si>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</si>
  <si>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</si>
  <si>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</si>
  <si>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</si>
  <si>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</si>
  <si>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</si>
  <si>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</si>
  <si>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</si>
  <si>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</si>
  <si>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</si>
  <si>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</si>
  <si>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</si>
  <si>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</si>
  <si>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</si>
  <si>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</si>
  <si>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</si>
  <si>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</si>
  <si>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</si>
  <si>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</si>
  <si>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</si>
  <si>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</si>
  <si>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</si>
  <si>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</si>
  <si>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</si>
  <si>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</si>
  <si>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</si>
  <si>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</si>
  <si>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</si>
  <si>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</si>
  <si>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</si>
  <si>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</si>
  <si>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</si>
  <si>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</si>
  <si>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</si>
  <si>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</si>
  <si>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</si>
  <si>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</si>
  <si>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</si>
  <si>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</si>
  <si>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</si>
  <si>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</si>
  <si>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</si>
  <si>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</si>
  <si>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</si>
  <si>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</si>
  <si>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</si>
  <si>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</si>
  <si>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</si>
  <si>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</si>
  <si>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</si>
  <si>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</si>
  <si>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</si>
  <si>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</si>
  <si>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</si>
  <si>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</si>
  <si>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</si>
  <si>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</si>
  <si>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</si>
  <si>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</si>
  <si>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</si>
  <si>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</si>
  <si>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</si>
  <si>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</si>
  <si>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</si>
  <si>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</si>
  <si>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</si>
  <si>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</si>
  <si>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</si>
  <si>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</si>
  <si>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</si>
  <si>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</si>
  <si>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</si>
  <si>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</si>
  <si>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</si>
  <si>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</si>
  <si>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</si>
  <si>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</si>
  <si>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</si>
  <si>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</si>
  <si>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</si>
  <si>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</si>
  <si>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</si>
  <si>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</si>
  <si>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</si>
  <si>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</si>
  <si>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</si>
  <si>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</si>
  <si>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</si>
  <si>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</si>
  <si>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</si>
  <si>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</si>
  <si>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</si>
  <si>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</si>
  <si>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</si>
  <si>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</si>
  <si>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</si>
  <si>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</si>
  <si>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</si>
  <si>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</si>
  <si>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</si>
  <si>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</si>
  <si>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</si>
  <si>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</si>
  <si>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</si>
  <si>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</si>
  <si>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</si>
  <si>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</si>
  <si>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</si>
  <si>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</si>
  <si>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</si>
  <si>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</si>
  <si>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</si>
  <si>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</si>
  <si>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</si>
  <si>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</si>
  <si>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</si>
  <si>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</si>
  <si>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</si>
  <si>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</si>
  <si>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</si>
  <si>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</si>
  <si>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</si>
  <si>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</si>
  <si>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</si>
  <si>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</si>
  <si>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</si>
  <si>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</si>
  <si>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</si>
  <si>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</si>
  <si>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</si>
  <si>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</si>
  <si>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</si>
  <si>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</si>
  <si>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</si>
  <si>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</si>
  <si>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</si>
  <si>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</si>
  <si>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</si>
  <si>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</si>
  <si>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</si>
  <si>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</si>
  <si>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</si>
  <si>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</si>
  <si>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</si>
  <si>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</si>
  <si>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</si>
  <si>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</si>
  <si>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</si>
  <si>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</si>
  <si>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</si>
  <si>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</si>
  <si>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</si>
  <si>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</si>
  <si>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</si>
  <si>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</si>
  <si>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</si>
  <si>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</si>
  <si>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</si>
  <si>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</si>
  <si>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</si>
  <si>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</si>
  <si>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</si>
  <si>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</si>
  <si>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</si>
  <si>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</si>
  <si>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</si>
  <si>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</si>
  <si>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</si>
  <si>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</si>
  <si>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</si>
  <si>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</si>
  <si>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</si>
  <si>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</si>
  <si>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</si>
  <si>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</si>
  <si>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</si>
  <si>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</si>
  <si>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</si>
  <si>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</si>
  <si>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</si>
  <si>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</si>
  <si>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</si>
  <si>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</si>
  <si>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</si>
  <si>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</si>
  <si>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</si>
  <si>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</si>
  <si>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</si>
  <si>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</si>
  <si>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</si>
  <si>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</si>
  <si>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</si>
  <si>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</si>
  <si>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</si>
  <si>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</si>
  <si>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</si>
  <si>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</si>
  <si>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</si>
  <si>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</si>
  <si>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</si>
  <si>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</si>
  <si>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</si>
  <si>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</si>
  <si>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</si>
  <si>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</si>
  <si>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</si>
  <si>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</si>
  <si>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</si>
  <si>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</si>
  <si>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</si>
  <si>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</si>
  <si>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</si>
  <si>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</si>
  <si>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</si>
  <si>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</si>
  <si>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</si>
  <si>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</si>
  <si>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</si>
  <si>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</si>
  <si>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</si>
  <si>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</si>
  <si>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</si>
  <si>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</si>
  <si>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</si>
  <si>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</si>
  <si>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</si>
  <si>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</si>
  <si>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</si>
  <si>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</si>
  <si>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</si>
  <si>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</si>
  <si>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</si>
  <si>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</si>
  <si>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</si>
  <si>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</si>
  <si>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</si>
  <si>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</si>
  <si>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</si>
  <si>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</si>
  <si>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</si>
  <si>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</si>
  <si>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</si>
  <si>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</si>
  <si>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</si>
  <si>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</si>
  <si>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</si>
  <si>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</si>
  <si>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</si>
  <si>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</si>
  <si>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</si>
  <si>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</si>
  <si>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</si>
  <si>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</si>
  <si>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</si>
  <si>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</si>
  <si>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</si>
  <si>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</si>
  <si>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</si>
  <si>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</si>
  <si>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</si>
  <si>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</si>
  <si>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</si>
  <si>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</si>
  <si>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</si>
  <si>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</si>
  <si>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</si>
  <si>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</si>
  <si>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</si>
  <si>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</si>
  <si>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</si>
  <si>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</si>
  <si>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</si>
  <si>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</si>
  <si>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</si>
  <si>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</si>
  <si>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</si>
  <si>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</si>
  <si>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</si>
  <si>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</si>
  <si>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</si>
  <si>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</si>
  <si>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</si>
  <si>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</si>
  <si>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</si>
  <si>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</si>
  <si>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</si>
  <si>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</si>
  <si>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</si>
  <si>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</si>
  <si>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</si>
  <si>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</si>
  <si>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</si>
  <si>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</si>
  <si>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</si>
  <si>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</si>
  <si>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</si>
  <si>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</si>
  <si>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</si>
  <si>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</si>
  <si>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</si>
  <si>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</si>
  <si>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</si>
  <si>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</si>
  <si>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</si>
  <si>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</si>
  <si>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</si>
  <si>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</si>
  <si>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</si>
  <si>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</si>
  <si>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</si>
  <si>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</si>
  <si>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</si>
  <si>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</si>
  <si>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</si>
  <si>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</si>
  <si>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</si>
  <si>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</si>
  <si>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</si>
  <si>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</si>
  <si>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</si>
  <si>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</si>
  <si>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</si>
  <si>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</si>
  <si>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</si>
  <si>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</si>
  <si>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</si>
  <si>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</si>
  <si>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</si>
  <si>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</si>
  <si>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</si>
  <si>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</si>
  <si>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</si>
  <si>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</si>
  <si>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</si>
  <si>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</si>
  <si>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</si>
  <si>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</si>
  <si>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</si>
  <si>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</si>
  <si>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</si>
  <si>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</si>
  <si>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</si>
  <si>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</si>
  <si>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</si>
  <si>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</si>
  <si>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</si>
  <si>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</si>
  <si>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</si>
  <si>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</si>
  <si>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</si>
  <si>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</si>
  <si>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</si>
  <si>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</si>
  <si>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</si>
  <si>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</si>
  <si>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</si>
  <si>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</si>
  <si>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</si>
  <si>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</si>
  <si>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</si>
  <si>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</si>
  <si>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</si>
  <si>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</si>
  <si>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</si>
  <si>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</si>
  <si>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</si>
  <si>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</si>
  <si>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</si>
  <si>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</si>
  <si>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</si>
  <si>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</si>
  <si>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</si>
  <si>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</si>
  <si>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</si>
  <si>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</si>
  <si>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</si>
  <si>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</si>
  <si>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</si>
  <si>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</si>
  <si>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</si>
  <si>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</si>
  <si>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</si>
  <si>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</si>
  <si>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</si>
  <si>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</si>
  <si>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</si>
  <si>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</si>
  <si>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</si>
  <si>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</si>
  <si>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</si>
  <si>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</si>
  <si>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</si>
  <si>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</si>
  <si>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</si>
  <si>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</si>
  <si>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</si>
  <si>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</si>
  <si>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</si>
  <si>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</si>
  <si>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</si>
  <si>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</si>
  <si>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</si>
  <si>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</si>
  <si>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</si>
  <si>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</si>
  <si>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</si>
  <si>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</si>
  <si>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</si>
  <si>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</si>
  <si>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</si>
  <si>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</si>
  <si>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</si>
  <si>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</si>
  <si>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</si>
  <si>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</si>
  <si>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</si>
  <si>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</si>
  <si>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</si>
  <si>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</si>
  <si>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</si>
  <si>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</si>
  <si>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</si>
  <si>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</si>
  <si>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</si>
  <si>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</si>
  <si>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</si>
  <si>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</si>
  <si>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</si>
  <si>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</si>
  <si>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</si>
  <si>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</si>
  <si>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</si>
  <si>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</si>
  <si>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</si>
  <si>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</si>
  <si>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</si>
  <si>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</si>
  <si>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</si>
  <si>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</si>
  <si>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</si>
  <si>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</si>
  <si>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</si>
  <si>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</si>
  <si>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</si>
  <si>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</si>
  <si>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</si>
  <si>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</si>
  <si>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</si>
  <si>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</si>
  <si>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</si>
  <si>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</si>
  <si>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</si>
  <si>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</si>
  <si>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</si>
  <si>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</si>
  <si>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</si>
  <si>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</si>
  <si>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</si>
  <si>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</si>
  <si>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</si>
  <si>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</si>
  <si>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</si>
  <si>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</si>
  <si>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</si>
  <si>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</si>
  <si>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</si>
  <si>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</si>
  <si>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</si>
  <si>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</si>
  <si>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</si>
  <si>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</si>
  <si>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</si>
  <si>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</si>
  <si>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</si>
  <si>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</si>
  <si>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</si>
  <si>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</si>
  <si>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</si>
  <si>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</si>
  <si>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</si>
  <si>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</si>
  <si>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</si>
  <si>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</si>
  <si>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</si>
  <si>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</si>
  <si>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</si>
  <si>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</si>
  <si>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</si>
  <si>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</si>
  <si>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</si>
  <si>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</si>
  <si>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</si>
  <si>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</si>
  <si>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</si>
  <si>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</si>
  <si>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</si>
  <si>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</si>
  <si>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</si>
  <si>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</si>
  <si>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</si>
  <si>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</si>
  <si>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</si>
  <si>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</si>
  <si>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</si>
  <si>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</si>
  <si>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</si>
  <si>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</si>
  <si>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</si>
  <si>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</si>
  <si>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</si>
  <si>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</si>
  <si>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</si>
  <si>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</si>
  <si>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</si>
  <si>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</si>
  <si>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</si>
  <si>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</si>
  <si>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</si>
  <si>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</si>
  <si>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</si>
  <si>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</si>
  <si>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</si>
  <si>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</si>
  <si>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</si>
  <si>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</si>
  <si>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</si>
  <si>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</si>
  <si>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</si>
  <si>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</si>
  <si>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</si>
  <si>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</si>
  <si>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</si>
  <si>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</si>
  <si>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</si>
  <si>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</si>
  <si>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</si>
  <si>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</si>
  <si>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</si>
  <si>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</si>
  <si>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</si>
  <si>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</si>
  <si>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</si>
  <si>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</si>
  <si>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</si>
  <si>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</si>
  <si>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</si>
  <si>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</si>
  <si>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</si>
  <si>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</si>
  <si>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</si>
  <si>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</si>
  <si>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</si>
  <si>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</si>
  <si>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</si>
  <si>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</si>
  <si>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</si>
  <si>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</si>
  <si>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</si>
  <si>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</si>
  <si>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</si>
  <si>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</si>
  <si>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</si>
  <si>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</si>
  <si>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</si>
  <si>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</si>
  <si>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</si>
  <si>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</si>
  <si>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</si>
  <si>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</si>
  <si>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</si>
  <si>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</si>
  <si>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</si>
  <si>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</si>
  <si>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</si>
  <si>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</si>
  <si>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</si>
  <si>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</si>
  <si>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</si>
  <si>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</si>
  <si>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</si>
  <si>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</si>
  <si>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</si>
  <si>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</si>
  <si>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</si>
  <si>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</si>
  <si>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</si>
  <si>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</si>
  <si>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</si>
  <si>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</si>
  <si>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</si>
  <si>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</si>
  <si>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</si>
  <si>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</si>
  <si>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</si>
  <si>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</si>
  <si>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</si>
  <si>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</si>
  <si>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</si>
  <si>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</si>
  <si>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</si>
  <si>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</si>
  <si>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</si>
  <si>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</si>
  <si>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</si>
  <si>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</si>
  <si>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</si>
  <si>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</si>
  <si>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</si>
  <si>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</si>
  <si>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</si>
  <si>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</si>
  <si>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</si>
  <si>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</si>
  <si>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</si>
  <si>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</si>
  <si>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</si>
  <si>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</si>
  <si>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</si>
  <si>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</si>
  <si>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</si>
  <si>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</si>
  <si>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</si>
  <si>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</si>
  <si>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</si>
  <si>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</si>
  <si>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</si>
  <si>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</si>
  <si>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</si>
  <si>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</si>
  <si>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</si>
  <si>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</si>
  <si>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</si>
  <si>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</si>
  <si>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</si>
  <si>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</si>
  <si>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</si>
  <si>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</si>
  <si>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</si>
  <si>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</si>
  <si>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</si>
  <si>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</si>
  <si>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</si>
  <si>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</si>
  <si>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</si>
  <si>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</si>
  <si>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</si>
  <si>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</si>
  <si>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</si>
  <si>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</si>
  <si>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</si>
  <si>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</si>
  <si>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</si>
  <si>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</si>
  <si>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</si>
  <si>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</si>
  <si>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</si>
  <si>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</si>
  <si>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</si>
  <si>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</si>
  <si>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</si>
  <si>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</si>
  <si>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</si>
  <si>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</si>
  <si>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</si>
  <si>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</si>
  <si>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</si>
  <si>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</si>
  <si>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</si>
  <si>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</si>
  <si>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</si>
  <si>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</si>
  <si>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</si>
  <si>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</si>
  <si>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</si>
  <si>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</si>
  <si>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</si>
  <si>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</si>
  <si>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</si>
  <si>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</si>
  <si>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</si>
  <si>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</si>
  <si>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</si>
  <si>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</si>
  <si>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</si>
  <si>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</si>
  <si>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</si>
  <si>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</si>
  <si>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</si>
  <si>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</si>
  <si>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</si>
  <si>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</si>
  <si>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</si>
  <si>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</si>
  <si>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</si>
  <si>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</si>
  <si>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</si>
  <si>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</si>
  <si>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</si>
  <si>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</si>
  <si>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</si>
  <si>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</si>
  <si>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</si>
  <si>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</si>
  <si>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</si>
  <si>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</si>
  <si>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</si>
  <si>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</si>
  <si>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</si>
  <si>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</si>
  <si>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</si>
  <si>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</si>
  <si>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</si>
  <si>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</si>
  <si>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</si>
  <si>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</si>
  <si>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</si>
  <si>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</si>
  <si>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</si>
  <si>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</si>
  <si>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</si>
  <si>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</si>
  <si>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</si>
  <si>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</si>
  <si>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</si>
  <si>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</si>
  <si>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</si>
  <si>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</si>
  <si>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</si>
  <si>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</si>
  <si>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</si>
  <si>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</si>
  <si>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</si>
  <si>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</si>
  <si>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</si>
  <si>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</si>
  <si>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</si>
  <si>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</si>
  <si>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</si>
  <si>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</si>
  <si>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</si>
  <si>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</si>
  <si>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</si>
  <si>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</si>
  <si>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</si>
  <si>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</si>
  <si>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</si>
  <si>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</si>
  <si>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</si>
  <si>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</si>
  <si>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</si>
  <si>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</si>
  <si>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</si>
  <si>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</si>
  <si>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</si>
  <si>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</si>
  <si>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</si>
  <si>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</si>
  <si>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</si>
  <si>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</si>
  <si>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</si>
  <si>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</si>
  <si>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</si>
  <si>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</si>
  <si>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</si>
  <si>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</si>
  <si>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</si>
  <si>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</si>
  <si>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</si>
  <si>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</si>
  <si>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</si>
  <si>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</si>
  <si>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</si>
  <si>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</si>
  <si>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</si>
  <si>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</si>
  <si>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</si>
  <si>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</si>
  <si>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</si>
  <si>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</si>
  <si>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</si>
  <si>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</si>
  <si>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</si>
  <si>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</si>
  <si>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</si>
  <si>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</si>
  <si>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</si>
  <si>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</si>
  <si>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</si>
  <si>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</si>
  <si>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</si>
  <si>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</si>
  <si>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</si>
  <si>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</si>
  <si>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</si>
  <si>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</si>
  <si>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</si>
  <si>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</si>
  <si>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</si>
  <si>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</si>
  <si>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</si>
  <si>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</si>
  <si>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</si>
  <si>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</si>
  <si>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</si>
  <si>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</si>
  <si>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</si>
  <si>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</si>
  <si>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</si>
  <si>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</si>
  <si>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</si>
  <si>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</si>
  <si>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</si>
  <si>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</si>
  <si>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</si>
  <si>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</si>
  <si>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</si>
  <si>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</si>
  <si>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</si>
  <si>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</si>
  <si>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</si>
  <si>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</si>
  <si>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</si>
  <si>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</si>
  <si>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</si>
  <si>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</si>
  <si>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</si>
  <si>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</si>
  <si>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</si>
  <si>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</si>
  <si>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</si>
  <si>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</si>
  <si>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</si>
  <si>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</si>
  <si>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</si>
  <si>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</si>
  <si>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</si>
  <si>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</si>
  <si>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</si>
  <si>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</si>
  <si>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</si>
  <si>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</si>
  <si>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</si>
  <si>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</si>
  <si>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</si>
  <si>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</si>
  <si>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</si>
  <si>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</si>
  <si>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</si>
  <si>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</si>
  <si>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</si>
  <si>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</si>
  <si>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</si>
  <si>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</si>
  <si>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</si>
  <si>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</si>
  <si>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</si>
  <si>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</si>
  <si>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</si>
  <si>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</si>
  <si>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</si>
  <si>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</si>
  <si>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</si>
  <si>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</si>
  <si>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</si>
  <si>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</si>
  <si>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</si>
  <si>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</si>
  <si>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</si>
  <si>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</si>
  <si>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</si>
  <si>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</si>
  <si>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</si>
  <si>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</si>
  <si>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</si>
  <si>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</si>
  <si>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</si>
  <si>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</si>
  <si>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</si>
  <si>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</si>
  <si>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</si>
  <si>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</si>
  <si>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</si>
  <si>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</si>
  <si>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</si>
  <si>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</si>
  <si>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</si>
  <si>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</si>
  <si>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</si>
  <si>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</si>
  <si>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</si>
  <si>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</si>
  <si>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</si>
  <si>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</si>
  <si>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</si>
  <si>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</si>
  <si>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</si>
  <si>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</si>
  <si>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</si>
  <si>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</si>
  <si>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</si>
  <si>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</si>
  <si>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</si>
  <si>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</si>
  <si>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</si>
  <si>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</si>
  <si>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</si>
  <si>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</si>
  <si>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</si>
  <si>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</si>
  <si>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</si>
  <si>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</si>
  <si>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</si>
  <si>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</si>
  <si>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</si>
  <si>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</si>
  <si>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</si>
  <si>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</si>
  <si>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</si>
  <si>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</si>
  <si>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</si>
  <si>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</si>
  <si>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</si>
  <si>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</si>
  <si>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</si>
  <si>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</si>
  <si>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</si>
  <si>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</si>
  <si>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</si>
  <si>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</si>
  <si>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</si>
  <si>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</si>
  <si>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</si>
  <si>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</si>
  <si>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</si>
  <si>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</si>
  <si>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</si>
  <si>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</si>
  <si>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</si>
  <si>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</si>
  <si>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</si>
  <si>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</si>
  <si>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</si>
  <si>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</si>
  <si>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</si>
  <si>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</si>
  <si>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</si>
  <si>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</si>
  <si>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</si>
  <si>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</si>
  <si>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</si>
  <si>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</si>
  <si>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</si>
  <si>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</si>
  <si>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</si>
  <si>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</si>
  <si>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</si>
  <si>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</si>
  <si>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</si>
  <si>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</si>
  <si>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</si>
  <si>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</si>
  <si>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</si>
  <si>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</si>
  <si>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</si>
  <si>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</si>
  <si>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</si>
  <si>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</si>
  <si>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</si>
  <si>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</si>
  <si>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</si>
  <si>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</si>
  <si>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</si>
  <si>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</si>
  <si>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</si>
  <si>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</si>
  <si>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</si>
  <si>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</si>
  <si>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</si>
  <si>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</si>
  <si>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</si>
  <si>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</si>
  <si>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</si>
  <si>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</si>
  <si>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</si>
  <si>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</si>
  <si>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</si>
  <si>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</si>
  <si>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</si>
  <si>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</si>
  <si>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</si>
  <si>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</si>
  <si>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</si>
  <si>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</si>
  <si>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</si>
  <si>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</si>
  <si>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</si>
  <si>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</si>
  <si>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</si>
  <si>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</si>
  <si>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</si>
  <si>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</si>
  <si>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</si>
  <si>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</si>
  <si>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</si>
  <si>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</si>
  <si>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</si>
  <si>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</si>
  <si>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</si>
  <si>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</si>
  <si>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</si>
  <si>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</si>
  <si>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</si>
  <si>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</si>
  <si>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</si>
  <si>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</si>
  <si>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</si>
  <si>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</si>
  <si>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</si>
  <si>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</si>
  <si>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</si>
  <si>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</si>
  <si>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</si>
  <si>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</si>
  <si>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</si>
  <si>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</si>
  <si>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</si>
  <si>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</si>
  <si>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</si>
  <si>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</si>
  <si>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</si>
  <si>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</si>
  <si>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</si>
  <si>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</si>
  <si>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</si>
  <si>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</si>
  <si>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</si>
  <si>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</si>
  <si>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</si>
  <si>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</si>
  <si>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</si>
  <si>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</si>
  <si>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</si>
  <si>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</si>
  <si>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</si>
  <si>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</si>
  <si>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</si>
  <si>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</si>
  <si>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</si>
  <si>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</si>
  <si>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</si>
  <si>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</si>
  <si>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</si>
  <si>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</si>
  <si>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</si>
  <si>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</si>
  <si>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</si>
  <si>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</si>
  <si>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</si>
  <si>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</si>
  <si>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</si>
  <si>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</si>
  <si>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</si>
  <si>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</si>
  <si>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</si>
  <si>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</si>
  <si>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</si>
  <si>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</si>
  <si>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</si>
  <si>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</si>
  <si>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</si>
  <si>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</si>
  <si>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</si>
  <si>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</si>
  <si>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</si>
  <si>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</si>
  <si>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</si>
  <si>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</si>
  <si>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</si>
  <si>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</si>
  <si>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</si>
  <si>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</si>
  <si>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</si>
  <si>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</si>
  <si>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</si>
  <si>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</si>
  <si>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</si>
  <si>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</si>
  <si>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</si>
  <si>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</si>
  <si>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</si>
  <si>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</si>
  <si>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</si>
  <si>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</si>
  <si>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</si>
  <si>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</si>
  <si>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</si>
  <si>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</si>
  <si>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</si>
  <si>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</si>
  <si>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</si>
  <si>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</si>
  <si>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</si>
  <si>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</si>
  <si>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</si>
  <si>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</si>
  <si>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</si>
  <si>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</si>
  <si>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</si>
  <si>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</si>
  <si>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</si>
  <si>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</si>
  <si>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</si>
  <si>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</si>
  <si>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</si>
  <si>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</si>
  <si>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</si>
  <si>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</si>
  <si>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</si>
  <si>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</si>
  <si>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</si>
  <si>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</si>
  <si>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</si>
  <si>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</si>
  <si>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</si>
  <si>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</si>
  <si>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</si>
  <si>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</si>
  <si>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</si>
  <si>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</si>
  <si>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</si>
  <si>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</si>
  <si>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</si>
  <si>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</si>
  <si>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</si>
  <si>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</si>
  <si>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</si>
  <si>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</si>
  <si>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</si>
  <si>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</si>
  <si>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</si>
  <si>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</si>
  <si>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</si>
  <si>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</si>
  <si>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</si>
  <si>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</si>
  <si>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</si>
  <si>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</si>
  <si>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</si>
  <si>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</si>
  <si>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</si>
  <si>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</si>
  <si>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</si>
  <si>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</si>
  <si>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</si>
  <si>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</si>
  <si>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</si>
  <si>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</si>
  <si>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</si>
  <si>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</si>
  <si>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</si>
  <si>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</si>
  <si>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</si>
  <si>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</si>
  <si>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</si>
  <si>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</si>
  <si>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</si>
  <si>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</si>
  <si>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</si>
  <si>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</si>
  <si>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</si>
  <si>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</si>
  <si>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</si>
  <si>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</si>
  <si>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</si>
  <si>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</si>
  <si>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</si>
  <si>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</si>
  <si>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</si>
  <si>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</si>
  <si>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</si>
  <si>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</si>
  <si>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</si>
  <si>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</si>
  <si>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</si>
  <si>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</si>
  <si>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</si>
  <si>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</si>
  <si>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</si>
  <si>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</si>
  <si>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</si>
  <si>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</si>
  <si>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</si>
  <si>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</si>
  <si>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</si>
  <si>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</si>
  <si>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</si>
  <si>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</si>
  <si>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</si>
  <si>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</si>
  <si>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</si>
  <si>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</si>
  <si>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</si>
  <si>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</si>
  <si>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</si>
  <si>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</si>
  <si>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</si>
  <si>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</si>
  <si>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</si>
  <si>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</si>
  <si>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</si>
  <si>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</si>
  <si>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</si>
  <si>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</si>
  <si>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</si>
  <si>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</si>
  <si>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</si>
  <si>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</si>
  <si>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</si>
  <si>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</si>
  <si>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</si>
  <si>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</si>
  <si>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</si>
  <si>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</si>
  <si>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</si>
  <si>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</si>
  <si>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</si>
  <si>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</si>
  <si>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</si>
  <si>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</si>
  <si>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</si>
  <si>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</si>
  <si>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</si>
  <si>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</si>
  <si>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</si>
  <si>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</si>
  <si>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</si>
  <si>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</si>
  <si>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</si>
  <si>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</si>
  <si>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</si>
  <si>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</si>
  <si>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</si>
  <si>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</si>
  <si>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</si>
  <si>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</si>
  <si>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</si>
  <si>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</si>
  <si>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</si>
  <si>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</si>
  <si>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</si>
  <si>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</si>
  <si>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</si>
  <si>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</si>
  <si>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</si>
  <si>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</si>
  <si>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</si>
  <si>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</si>
  <si>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</si>
  <si>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</si>
  <si>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</si>
  <si>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</si>
  <si>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</si>
  <si>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</si>
  <si>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</si>
  <si>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</si>
  <si>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</si>
  <si>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</si>
  <si>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</si>
  <si>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</si>
  <si>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</si>
  <si>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</si>
  <si>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</si>
  <si>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</si>
  <si>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</si>
  <si>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</si>
  <si>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</si>
  <si>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</si>
  <si>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</si>
  <si>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</si>
  <si>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</si>
  <si>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</si>
  <si>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</si>
  <si>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</si>
  <si>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</si>
  <si>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</si>
  <si>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</si>
  <si>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</si>
  <si>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</si>
  <si>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</si>
  <si>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</si>
  <si>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</si>
  <si>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</si>
  <si>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</si>
  <si>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</si>
  <si>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</si>
  <si>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</si>
  <si>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</si>
  <si>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</si>
  <si>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</si>
  <si>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</si>
  <si>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</si>
  <si>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</si>
  <si>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</si>
  <si>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</si>
  <si>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</si>
  <si>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</si>
  <si>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</si>
  <si>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</si>
  <si>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</si>
  <si>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</si>
  <si>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</si>
  <si>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</si>
  <si>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</si>
  <si>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</si>
  <si>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</si>
  <si>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</si>
  <si>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</si>
  <si>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</si>
  <si>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</si>
  <si>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</si>
  <si>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</si>
  <si>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</si>
  <si>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</si>
  <si>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</si>
  <si>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</si>
  <si>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</si>
  <si>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</si>
  <si>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</si>
  <si>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</si>
  <si>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</si>
  <si>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</si>
  <si>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</si>
  <si>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</si>
  <si>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</si>
  <si>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</si>
  <si>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</si>
  <si>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</si>
  <si>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</si>
  <si>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</si>
  <si>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</si>
  <si>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</si>
  <si>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</si>
  <si>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</si>
  <si>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</si>
  <si>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</si>
  <si>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</si>
  <si>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</si>
  <si>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</si>
  <si>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</si>
  <si>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</si>
  <si>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</si>
  <si>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</si>
  <si>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</si>
  <si>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</si>
  <si>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</si>
  <si>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</si>
  <si>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</si>
  <si>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</si>
  <si>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</si>
  <si>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</si>
  <si>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</si>
  <si>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</si>
  <si>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</si>
  <si>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</si>
  <si>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</si>
  <si>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</si>
  <si>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</si>
  <si>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</si>
  <si>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</si>
  <si>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</si>
  <si>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</si>
  <si>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</si>
  <si>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</si>
  <si>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</si>
  <si>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</si>
  <si>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</si>
  <si>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</si>
  <si>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</si>
  <si>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</si>
  <si>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</si>
  <si>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</si>
  <si>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</si>
  <si>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</si>
  <si>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</si>
  <si>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</si>
  <si>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</si>
  <si>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</si>
  <si>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</si>
  <si>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</si>
  <si>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</si>
  <si>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</si>
  <si>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</si>
  <si>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</si>
  <si>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</si>
  <si>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</si>
  <si>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</si>
  <si>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</si>
  <si>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</si>
  <si>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</si>
  <si>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</si>
  <si>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</si>
  <si>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</si>
  <si>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</si>
  <si>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</si>
  <si>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</si>
  <si>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</si>
  <si>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</si>
  <si>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</si>
  <si>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</si>
  <si>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</si>
  <si>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</si>
  <si>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</si>
  <si>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</si>
  <si>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</si>
  <si>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</si>
  <si>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</si>
  <si>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</si>
  <si>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</si>
  <si>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</si>
  <si>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</si>
  <si>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</si>
  <si>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</si>
  <si>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</si>
  <si>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</si>
  <si>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</si>
  <si>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</si>
  <si>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</si>
  <si>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</si>
  <si>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</si>
  <si>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</si>
  <si>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</si>
  <si>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</si>
  <si>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</si>
  <si>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</si>
  <si>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</si>
  <si>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</si>
  <si>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</si>
  <si>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</si>
  <si>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</si>
  <si>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</si>
  <si>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</si>
  <si>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</si>
  <si>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</si>
  <si>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</si>
  <si>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</si>
  <si>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</si>
  <si>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</si>
  <si>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</si>
  <si>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</si>
  <si>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</si>
  <si>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</si>
  <si>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</si>
  <si>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</si>
  <si>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</si>
  <si>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</si>
  <si>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</si>
  <si>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</si>
  <si>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</si>
  <si>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</si>
  <si>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</si>
  <si>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</si>
  <si>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</si>
  <si>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</si>
  <si>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</si>
  <si>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</si>
  <si>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</si>
  <si>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</si>
  <si>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</si>
  <si>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</si>
  <si>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</si>
  <si>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</si>
  <si>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</si>
  <si>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</si>
  <si>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</si>
  <si>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</si>
  <si>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</si>
  <si>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</si>
  <si>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</si>
  <si>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</si>
  <si>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</si>
  <si>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</si>
  <si>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</si>
  <si>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</si>
  <si>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</si>
  <si>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</si>
  <si>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</si>
  <si>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</si>
  <si>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</si>
  <si>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</si>
  <si>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</si>
  <si>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</si>
  <si>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</si>
  <si>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</si>
  <si>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</si>
  <si>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</si>
  <si>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</si>
  <si>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</si>
  <si>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</si>
  <si>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</si>
  <si>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</si>
  <si>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</si>
  <si>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</si>
  <si>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</si>
  <si>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</si>
  <si>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</si>
  <si>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</si>
  <si>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</si>
  <si>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</si>
  <si>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</si>
  <si>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</si>
  <si>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</si>
  <si>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</si>
  <si>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</si>
  <si>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</si>
  <si>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</si>
  <si>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</si>
  <si>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</si>
  <si>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</si>
  <si>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</si>
  <si>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</si>
  <si>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</si>
  <si>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</si>
  <si>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</si>
  <si>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</si>
  <si>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</si>
  <si>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</si>
  <si>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</si>
  <si>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</si>
  <si>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</si>
  <si>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</si>
  <si>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</si>
  <si>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</si>
  <si>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</si>
  <si>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</si>
  <si>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</si>
  <si>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</si>
  <si>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</si>
  <si>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</si>
  <si>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</si>
  <si>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</si>
  <si>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</si>
  <si>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</si>
  <si>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</si>
  <si>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</si>
  <si>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</si>
  <si>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</si>
  <si>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</si>
  <si>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</si>
  <si>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</si>
  <si>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</si>
  <si>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</si>
  <si>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</si>
  <si>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</si>
  <si>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</si>
  <si>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</si>
  <si>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</si>
  <si>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</si>
  <si>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</si>
  <si>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</si>
  <si>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</si>
  <si>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</si>
  <si>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</si>
  <si>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</si>
  <si>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</si>
  <si>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</si>
  <si>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</si>
  <si>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</si>
  <si>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</si>
  <si>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</si>
  <si>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</si>
  <si>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</si>
  <si>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</si>
  <si>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</si>
  <si>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</si>
  <si>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</si>
  <si>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</si>
  <si>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</si>
  <si>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</si>
  <si>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</si>
  <si>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</si>
  <si>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</si>
  <si>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</si>
  <si>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</si>
  <si>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</si>
  <si>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</si>
  <si>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</si>
  <si>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</si>
  <si>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</si>
  <si>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</si>
  <si>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</si>
  <si>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</si>
  <si>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</si>
  <si>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</si>
  <si>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</si>
  <si>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</si>
  <si>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</si>
  <si>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</si>
  <si>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</si>
  <si>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</si>
  <si>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</si>
  <si>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</si>
  <si>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</si>
  <si>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</si>
  <si>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</si>
  <si>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</si>
  <si>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</si>
  <si>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</si>
  <si>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</si>
  <si>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</si>
  <si>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</si>
  <si>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</si>
  <si>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</si>
  <si>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</si>
  <si>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</si>
  <si>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</si>
  <si>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</si>
  <si>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</si>
  <si>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</si>
  <si>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</si>
  <si>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</si>
  <si>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</si>
  <si>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</si>
  <si>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</si>
  <si>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</si>
  <si>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</si>
  <si>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</si>
  <si>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</si>
  <si>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</si>
  <si>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</si>
  <si>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</si>
  <si>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</si>
  <si>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</si>
  <si>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</si>
  <si>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</si>
  <si>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</si>
  <si>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</si>
  <si>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</si>
  <si>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</si>
  <si>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</si>
  <si>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</si>
  <si>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</si>
  <si>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</si>
  <si>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</si>
  <si>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</si>
  <si>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</si>
  <si>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</si>
  <si>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</si>
  <si>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</si>
  <si>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</si>
  <si>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</si>
  <si>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</si>
  <si>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</si>
  <si>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</si>
  <si>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</si>
  <si>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</si>
  <si>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</si>
  <si>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</si>
  <si>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</si>
  <si>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</si>
  <si>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</si>
  <si>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</si>
  <si>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</si>
  <si>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</si>
  <si>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</si>
  <si>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</si>
  <si>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</si>
  <si>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</si>
  <si>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</si>
  <si>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</si>
  <si>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</si>
  <si>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</si>
  <si>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</si>
  <si>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</si>
  <si>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</si>
  <si>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</si>
  <si>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</si>
  <si>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</si>
  <si>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</si>
  <si>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</si>
  <si>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</si>
  <si>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</si>
  <si>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</si>
  <si>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</si>
  <si>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</si>
  <si>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</si>
  <si>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</si>
  <si>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</si>
  <si>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</si>
  <si>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</si>
  <si>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</si>
  <si>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</si>
  <si>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</si>
  <si>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</si>
  <si>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</si>
  <si>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</si>
  <si>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</si>
  <si>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</si>
  <si>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</si>
  <si>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</si>
  <si>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</si>
  <si>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</si>
  <si>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</si>
  <si>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</si>
  <si>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</si>
  <si>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</si>
  <si>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</si>
  <si>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</si>
  <si>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</si>
  <si>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</si>
  <si>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</si>
  <si>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</si>
  <si>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</si>
  <si>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</si>
  <si>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</si>
  <si>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</si>
  <si>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</si>
  <si>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</si>
  <si>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</si>
  <si>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</si>
  <si>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</si>
  <si>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</si>
  <si>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</si>
  <si>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</si>
  <si>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</si>
  <si>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</si>
  <si>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</si>
  <si>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</si>
  <si>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</si>
  <si>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</si>
  <si>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</si>
  <si>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</si>
  <si>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</si>
  <si>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</si>
  <si>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</si>
  <si>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</si>
  <si>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</si>
  <si>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</si>
  <si>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</si>
  <si>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</si>
  <si>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</si>
  <si>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</si>
  <si>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</si>
  <si>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</si>
  <si>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</si>
  <si>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</si>
  <si>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</si>
  <si>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</si>
  <si>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</si>
  <si>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</si>
  <si>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</si>
  <si>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</si>
  <si>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</si>
  <si>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</si>
  <si>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</si>
  <si>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</si>
  <si>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</si>
  <si>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</si>
  <si>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</si>
  <si>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</si>
  <si>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</si>
  <si>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</si>
  <si>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</si>
  <si>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</si>
  <si>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</si>
  <si>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</si>
  <si>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</si>
  <si>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</si>
  <si>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</si>
  <si>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</si>
  <si>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</si>
  <si>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</si>
  <si>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</si>
  <si>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</si>
  <si>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</si>
  <si>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</si>
  <si>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</si>
  <si>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</si>
  <si>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</si>
  <si>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</si>
  <si>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</si>
  <si>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</si>
  <si>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</si>
  <si>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</si>
  <si>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</si>
  <si>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</si>
  <si>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</si>
  <si>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</si>
  <si>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</si>
  <si>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</si>
  <si>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</si>
  <si>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</si>
  <si>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</si>
  <si>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</si>
  <si>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</si>
  <si>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</si>
  <si>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</si>
  <si>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</si>
  <si>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</si>
  <si>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</si>
  <si>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</si>
  <si>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</si>
  <si>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</si>
  <si>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</si>
  <si>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</si>
  <si>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</si>
  <si>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</si>
  <si>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</si>
  <si>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</si>
  <si>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</si>
  <si>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</si>
  <si>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</si>
  <si>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</si>
  <si>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</si>
  <si>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</si>
  <si>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</si>
  <si>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</si>
  <si>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</si>
  <si>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</si>
  <si>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</si>
  <si>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</si>
  <si>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</si>
  <si>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</si>
  <si>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</si>
  <si>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</si>
  <si>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</si>
  <si>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</si>
  <si>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</si>
  <si>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</si>
  <si>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</si>
  <si>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</si>
  <si>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</si>
  <si>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</si>
  <si>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</si>
  <si>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</si>
  <si>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</si>
  <si>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</si>
  <si>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</si>
  <si>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</si>
  <si>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</si>
  <si>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</si>
  <si>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</si>
  <si>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</si>
  <si>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</si>
  <si>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</si>
  <si>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</si>
  <si>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</si>
  <si>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</si>
  <si>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</si>
  <si>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</si>
  <si>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</si>
  <si>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</si>
  <si>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</si>
  <si>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</si>
  <si>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</si>
  <si>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</si>
  <si>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</si>
  <si>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</si>
  <si>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</si>
  <si>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</si>
  <si>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</si>
  <si>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</si>
  <si>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</si>
  <si>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</si>
  <si>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</si>
  <si>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</si>
  <si>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</si>
  <si>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</si>
  <si>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</si>
  <si>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</si>
  <si>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</si>
  <si>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</si>
  <si>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</si>
  <si>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</si>
  <si>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</si>
  <si>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</si>
  <si>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</si>
  <si>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</si>
  <si>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</si>
  <si>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</si>
  <si>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</si>
  <si>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</si>
  <si>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</si>
  <si>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</si>
  <si>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</si>
  <si>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</si>
  <si>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</si>
  <si>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</si>
  <si>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</si>
  <si>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</si>
  <si>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</si>
  <si>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</si>
  <si>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</si>
  <si>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</si>
  <si>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</si>
  <si>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</si>
  <si>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</si>
  <si>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</si>
  <si>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</si>
  <si>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</si>
  <si>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</si>
  <si>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</si>
  <si>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</si>
  <si>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</si>
  <si>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</si>
  <si>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</si>
  <si>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</si>
  <si>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</si>
  <si>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</si>
  <si>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</si>
  <si>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</si>
  <si>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</si>
  <si>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</si>
  <si>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</si>
  <si>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</si>
  <si>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</si>
  <si>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</si>
  <si>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</si>
  <si>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</si>
  <si>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</si>
  <si>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</si>
  <si>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</si>
  <si>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</si>
  <si>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</si>
  <si>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</si>
  <si>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</si>
  <si>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</si>
  <si>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</si>
  <si>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</si>
  <si>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</si>
  <si>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</si>
  <si>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</si>
  <si>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</si>
  <si>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</si>
  <si>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</si>
  <si>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</si>
  <si>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</si>
  <si>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</si>
  <si>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</si>
  <si>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</si>
  <si>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</si>
  <si>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</si>
  <si>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</si>
  <si>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</si>
  <si>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</si>
  <si>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</si>
  <si>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</si>
  <si>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</si>
  <si>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</si>
  <si>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</si>
  <si>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</si>
  <si>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</si>
  <si>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</si>
  <si>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</si>
  <si>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</si>
  <si>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</si>
  <si>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</si>
  <si>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</si>
  <si>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</si>
  <si>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</si>
  <si>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</si>
  <si>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</si>
  <si>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</si>
  <si>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</si>
  <si>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</si>
  <si>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</si>
  <si>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</si>
  <si>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</si>
  <si>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</si>
  <si>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</si>
  <si>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</si>
  <si>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</si>
  <si>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</si>
  <si>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</si>
  <si>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</si>
  <si>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</si>
  <si>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</si>
  <si>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</si>
  <si>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</si>
  <si>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</si>
  <si>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</si>
  <si>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</si>
  <si>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</si>
  <si>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</si>
  <si>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</si>
  <si>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</si>
  <si>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</si>
  <si>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</si>
  <si>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</si>
  <si>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</si>
  <si>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</si>
  <si>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</si>
  <si>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</si>
  <si>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</si>
  <si>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</si>
  <si>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</si>
  <si>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</si>
  <si>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</si>
  <si>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</si>
  <si>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</si>
  <si>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</si>
  <si>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</si>
  <si>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</si>
  <si>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</si>
  <si>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</si>
  <si>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</si>
  <si>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</si>
  <si>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</si>
  <si>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</si>
  <si>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</si>
  <si>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</si>
  <si>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</si>
  <si>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</si>
  <si>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</si>
  <si>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</si>
  <si>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</si>
  <si>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</si>
  <si>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</si>
  <si>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</si>
  <si>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</si>
  <si>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</si>
  <si>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</si>
  <si>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</si>
  <si>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</si>
  <si>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</si>
  <si>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</si>
  <si>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</si>
  <si>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</si>
  <si>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</si>
  <si>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</si>
  <si>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</si>
  <si>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</si>
  <si>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</si>
  <si>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</si>
  <si>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</si>
  <si>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</si>
  <si>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</si>
  <si>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</si>
  <si>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</si>
  <si>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</si>
  <si>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</si>
  <si>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</si>
  <si>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</si>
  <si>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</si>
  <si>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</si>
  <si>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</si>
  <si>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</si>
  <si>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</si>
  <si>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</si>
  <si>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</si>
  <si>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</si>
  <si>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</si>
  <si>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</si>
  <si>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</si>
  <si>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</si>
  <si>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</si>
  <si>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</si>
  <si>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</si>
  <si>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</si>
  <si>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</si>
  <si>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</si>
  <si>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</si>
  <si>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</si>
  <si>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</si>
  <si>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</si>
  <si>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</si>
  <si>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</si>
  <si>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</si>
  <si>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</si>
  <si>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</si>
  <si>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</si>
  <si>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</si>
  <si>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</si>
  <si>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</si>
  <si>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</si>
  <si>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</si>
  <si>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</si>
  <si>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</si>
  <si>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</si>
  <si>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</si>
  <si>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</si>
  <si>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</si>
  <si>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</si>
  <si>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</si>
  <si>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</si>
  <si>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</si>
  <si>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</si>
  <si>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</si>
  <si>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</si>
  <si>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</si>
  <si>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</si>
  <si>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</si>
  <si>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</si>
  <si>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</si>
  <si>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</si>
  <si>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</si>
  <si>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</si>
  <si>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</si>
  <si>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</si>
  <si>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</si>
  <si>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</si>
  <si>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</si>
  <si>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</si>
  <si>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</si>
  <si>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</si>
  <si>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</si>
  <si>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</si>
  <si>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</si>
  <si>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</si>
  <si>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</si>
  <si>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</si>
  <si>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</si>
  <si>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</si>
  <si>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</si>
  <si>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</si>
  <si>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</si>
  <si>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</si>
  <si>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</si>
  <si>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</si>
  <si>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</si>
  <si>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</si>
  <si>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</si>
  <si>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</si>
  <si>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</si>
  <si>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</si>
  <si>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</si>
  <si>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</si>
  <si>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</si>
  <si>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</si>
  <si>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</si>
  <si>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</si>
  <si>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</si>
  <si>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</si>
  <si>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</si>
  <si>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</si>
  <si>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</si>
  <si>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</si>
  <si>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</si>
  <si>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</si>
  <si>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</si>
  <si>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</si>
  <si>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</si>
  <si>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</si>
  <si>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</si>
  <si>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</si>
  <si>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</si>
  <si>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</si>
  <si>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</si>
  <si>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</si>
  <si>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</si>
  <si>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</si>
  <si>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</si>
  <si>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</si>
  <si>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</si>
  <si>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</si>
  <si>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</si>
  <si>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</si>
  <si>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</si>
  <si>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</si>
  <si>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</si>
  <si>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</si>
  <si>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</si>
  <si>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</si>
  <si>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</si>
  <si>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</si>
  <si>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</si>
  <si>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</si>
  <si>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</si>
  <si>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</si>
  <si>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</si>
  <si>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</si>
  <si>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</si>
  <si>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</si>
  <si>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</si>
  <si>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</si>
  <si>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</si>
  <si>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</si>
  <si>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</si>
  <si>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</si>
  <si>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</si>
  <si>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</si>
  <si>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</si>
  <si>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</si>
  <si>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</si>
  <si>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</si>
  <si>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</si>
  <si>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</si>
  <si>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</si>
  <si>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</si>
  <si>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</si>
  <si>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</si>
  <si>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</si>
  <si>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</si>
  <si>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</si>
  <si>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</si>
  <si>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</si>
  <si>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</si>
  <si>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</si>
  <si>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</si>
  <si>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</si>
  <si>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</si>
  <si>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</si>
  <si>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</si>
  <si>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</si>
  <si>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</si>
  <si>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</si>
  <si>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</si>
  <si>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</si>
  <si>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</si>
  <si>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</si>
  <si>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</si>
  <si>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</si>
  <si>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</si>
  <si>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</si>
  <si>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</si>
  <si>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</si>
  <si>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</si>
  <si>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</si>
  <si>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</si>
  <si>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</si>
  <si>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</si>
  <si>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</si>
  <si>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</si>
  <si>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</si>
  <si>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</si>
  <si>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</si>
  <si>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</si>
  <si>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</si>
  <si>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</si>
  <si>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</si>
  <si>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</si>
  <si>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</si>
  <si>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</si>
  <si>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</si>
  <si>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</si>
  <si>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</si>
  <si>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</si>
  <si>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</si>
  <si>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</si>
  <si>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</si>
  <si>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</si>
  <si>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</si>
  <si>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</si>
  <si>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</si>
  <si>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</si>
  <si>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</si>
  <si>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</si>
  <si>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</si>
  <si>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</si>
  <si>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</si>
  <si>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</si>
  <si>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</si>
  <si>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</si>
  <si>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</si>
  <si>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</si>
  <si>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</si>
  <si>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</si>
  <si>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</si>
  <si>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</si>
  <si>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</si>
  <si>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</si>
  <si>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</si>
  <si>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</si>
  <si>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</si>
  <si>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</si>
  <si>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</si>
  <si>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</si>
  <si>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</si>
  <si>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</si>
  <si>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</si>
  <si>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</si>
  <si>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</si>
  <si>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</si>
  <si>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</si>
  <si>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</si>
  <si>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</si>
  <si>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</si>
  <si>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</si>
  <si>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</si>
  <si>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</si>
  <si>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</si>
  <si>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</si>
  <si>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</si>
  <si>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</si>
  <si>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</si>
  <si>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</si>
  <si>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</si>
  <si>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</si>
  <si>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</si>
  <si>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</si>
  <si>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</si>
  <si>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</si>
  <si>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</si>
  <si>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</si>
  <si>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</si>
  <si>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</si>
  <si>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</si>
  <si>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</si>
  <si>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</si>
  <si>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</si>
  <si>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</si>
  <si>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</si>
  <si>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</si>
  <si>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</si>
  <si>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</si>
  <si>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</si>
  <si>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</si>
  <si>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</si>
  <si>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</si>
  <si>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</si>
  <si>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</si>
  <si>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</si>
  <si>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</si>
  <si>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</si>
  <si>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</si>
  <si>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</si>
  <si>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</si>
  <si>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</si>
  <si>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</si>
  <si>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</si>
  <si>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</si>
  <si>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</si>
  <si>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</si>
  <si>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</si>
  <si>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</si>
  <si>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</si>
  <si>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</si>
  <si>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</si>
  <si>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</si>
  <si>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</si>
  <si>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</si>
  <si>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</si>
  <si>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</si>
  <si>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</si>
  <si>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</si>
  <si>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</si>
  <si>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</si>
  <si>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</si>
  <si>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</si>
  <si>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</si>
  <si>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</si>
  <si>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</si>
  <si>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</si>
  <si>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</si>
  <si>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</si>
  <si>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</si>
  <si>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</si>
  <si>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</si>
  <si>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</si>
  <si>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</si>
  <si>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</si>
  <si>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</si>
  <si>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</si>
  <si>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</si>
  <si>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</si>
  <si>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</si>
  <si>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</si>
  <si>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</si>
  <si>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</si>
  <si>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</si>
  <si>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</si>
  <si>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</si>
  <si>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</si>
  <si>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</si>
  <si>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</si>
  <si>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</si>
  <si>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</si>
  <si>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</si>
  <si>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</si>
  <si>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</si>
  <si>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</si>
  <si>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</si>
  <si>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</si>
  <si>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</si>
  <si>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</si>
  <si>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</si>
  <si>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</si>
  <si>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</si>
  <si>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</si>
  <si>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</si>
  <si>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</si>
  <si>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</si>
  <si>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</si>
  <si>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</si>
  <si>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</si>
  <si>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</si>
  <si>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</si>
  <si>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</si>
  <si>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</si>
  <si>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</si>
  <si>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</si>
  <si>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</si>
  <si>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</si>
  <si>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</si>
  <si>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</si>
  <si>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</si>
  <si>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</si>
  <si>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</si>
  <si>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</si>
  <si>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</si>
  <si>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</si>
  <si>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</si>
  <si>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</si>
  <si>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</si>
  <si>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</si>
  <si>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</si>
  <si>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</si>
  <si>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</si>
  <si>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</si>
  <si>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</si>
  <si>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</si>
  <si>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</si>
  <si>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</si>
  <si>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</si>
  <si>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</si>
  <si>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</si>
  <si>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</si>
  <si>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</si>
  <si>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</si>
  <si>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</si>
  <si>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</si>
  <si>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</si>
  <si>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</si>
  <si>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</si>
  <si>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</si>
  <si>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</si>
  <si>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</si>
  <si>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</si>
  <si>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</si>
  <si>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</si>
  <si>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</si>
  <si>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</si>
  <si>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</si>
  <si>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</si>
  <si>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</si>
  <si>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</si>
  <si>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</si>
  <si>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</si>
  <si>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</si>
  <si>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</si>
  <si>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</si>
  <si>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</si>
  <si>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</si>
  <si>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</si>
  <si>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</si>
  <si>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</si>
  <si>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</si>
  <si>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</si>
  <si>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</si>
  <si>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</si>
  <si>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</si>
  <si>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</si>
  <si>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</si>
  <si>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</si>
  <si>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</si>
  <si>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</si>
  <si>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</si>
  <si>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</si>
  <si>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</si>
  <si>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</si>
  <si>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</si>
  <si>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</si>
  <si>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</si>
  <si>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</si>
  <si>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</si>
  <si>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</si>
  <si>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</si>
  <si>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</si>
  <si>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</si>
  <si>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</si>
  <si>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</si>
  <si>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</si>
  <si>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</si>
  <si>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</si>
  <si>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</si>
  <si>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</si>
  <si>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</si>
  <si>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</si>
  <si>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</si>
  <si>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</si>
  <si>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</si>
  <si>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</si>
  <si>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</si>
  <si>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</si>
  <si>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</si>
  <si>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</si>
  <si>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</si>
  <si>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</si>
  <si>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</si>
  <si>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</si>
  <si>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</si>
  <si>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</si>
  <si>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</si>
  <si>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</si>
  <si>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</si>
  <si>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</si>
  <si>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</si>
  <si>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</si>
  <si>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</si>
  <si>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</si>
  <si>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</si>
  <si>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</si>
  <si>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</si>
  <si>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</si>
  <si>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</si>
  <si>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</si>
  <si>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</si>
  <si>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</si>
  <si>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</si>
  <si>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</si>
  <si>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</si>
  <si>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</si>
  <si>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</si>
  <si>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</si>
  <si>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</si>
  <si>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</si>
  <si>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</si>
  <si>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</si>
  <si>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</si>
  <si>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</si>
  <si>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</si>
  <si>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</si>
  <si>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</si>
  <si>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</si>
  <si>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</si>
  <si>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</si>
  <si>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</si>
  <si>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</si>
  <si>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</si>
  <si>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</si>
  <si>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</si>
  <si>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</si>
  <si>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</si>
  <si>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</si>
  <si>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</si>
  <si>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</si>
  <si>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</si>
  <si>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</si>
  <si>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</si>
  <si>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</si>
  <si>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</si>
  <si>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</si>
  <si>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</si>
  <si>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</si>
  <si>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</si>
  <si>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</si>
  <si>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</si>
  <si>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</si>
  <si>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</si>
  <si>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</si>
  <si>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</si>
  <si>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</si>
  <si>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</si>
  <si>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</si>
  <si>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</si>
  <si>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</si>
  <si>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</si>
  <si>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</si>
  <si>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</si>
  <si>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</si>
  <si>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</si>
  <si>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</si>
  <si>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</si>
  <si>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</si>
  <si>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</si>
  <si>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</si>
  <si>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</si>
  <si>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</si>
  <si>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</si>
  <si>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</si>
  <si>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</si>
  <si>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</si>
  <si>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</si>
  <si>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</si>
  <si>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</si>
  <si>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</si>
  <si>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</si>
  <si>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</si>
  <si>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</si>
  <si>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</si>
  <si>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</si>
  <si>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</si>
  <si>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</si>
  <si>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</si>
  <si>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</si>
  <si>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</si>
  <si>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</si>
  <si>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</si>
  <si>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</si>
  <si>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</si>
  <si>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</si>
  <si>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</si>
  <si>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</si>
  <si>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</si>
  <si>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</si>
  <si>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</si>
  <si>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</si>
  <si>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</si>
  <si>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</si>
  <si>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</si>
  <si>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</si>
  <si>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</si>
  <si>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</si>
  <si>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</si>
  <si>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</si>
  <si>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</si>
  <si>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</si>
  <si>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</si>
  <si>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</si>
  <si>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</si>
  <si>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</si>
  <si>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</si>
  <si>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</si>
  <si>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</si>
  <si>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</si>
  <si>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</si>
  <si>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</si>
  <si>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</si>
  <si>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</si>
  <si>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</si>
  <si>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</si>
  <si>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</si>
  <si>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</si>
  <si>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</si>
  <si>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</si>
  <si>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</si>
  <si>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</si>
  <si>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</si>
  <si>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</si>
  <si>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</si>
  <si>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</si>
  <si>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</si>
  <si>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</si>
  <si>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</si>
  <si>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</si>
  <si>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</si>
  <si>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</si>
  <si>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</si>
  <si>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</si>
  <si>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</si>
  <si>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</si>
  <si>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</si>
  <si>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</si>
  <si>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</si>
  <si>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</si>
  <si>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</si>
  <si>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</si>
  <si>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</si>
  <si>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</si>
  <si>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</si>
  <si>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</si>
  <si>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</si>
  <si>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</si>
  <si>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</si>
  <si>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</si>
  <si>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</si>
  <si>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</si>
  <si>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</si>
  <si>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</si>
  <si>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</si>
  <si>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</si>
  <si>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</si>
  <si>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</si>
  <si>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</si>
  <si>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</si>
  <si>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</si>
  <si>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</si>
  <si>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</si>
  <si>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</si>
  <si>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</si>
  <si>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</si>
  <si>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</si>
  <si>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</si>
  <si>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</si>
  <si>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</si>
  <si>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</si>
  <si>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</si>
  <si>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</si>
  <si>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</si>
  <si>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</si>
  <si>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</si>
  <si>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</si>
  <si>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</si>
  <si>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</si>
  <si>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</si>
  <si>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</si>
  <si>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</si>
  <si>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</si>
  <si>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</si>
  <si>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</si>
  <si>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</si>
  <si>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</si>
  <si>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</si>
  <si>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</si>
  <si>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</si>
  <si>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</si>
  <si>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</si>
  <si>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</si>
  <si>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</si>
  <si>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</si>
  <si>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</si>
  <si>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</si>
  <si>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</si>
  <si>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</si>
  <si>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</si>
  <si>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</si>
  <si>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</si>
  <si>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</si>
  <si>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</si>
  <si>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</si>
  <si>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</si>
  <si>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</si>
  <si>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</si>
  <si>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</si>
  <si>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</si>
  <si>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</si>
  <si>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</si>
  <si>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</si>
  <si>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</si>
  <si>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</si>
  <si>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</si>
  <si>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</si>
  <si>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</si>
  <si>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</si>
  <si>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</si>
  <si>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</si>
  <si>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</si>
  <si>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</si>
  <si>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</si>
  <si>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</si>
  <si>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</si>
  <si>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</si>
  <si>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</si>
  <si>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</si>
  <si>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</si>
  <si>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</si>
  <si>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</si>
  <si>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</si>
  <si>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</si>
  <si>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</si>
  <si>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</si>
  <si>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</si>
  <si>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</si>
  <si>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</si>
  <si>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</si>
  <si>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</si>
  <si>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</si>
  <si>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</si>
  <si>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</si>
  <si>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</si>
  <si>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</si>
  <si>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</si>
  <si>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</si>
  <si>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</si>
  <si>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</si>
  <si>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</si>
  <si>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</si>
  <si>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</si>
  <si>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</si>
  <si>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</si>
  <si>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</si>
  <si>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</si>
  <si>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</si>
  <si>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</si>
  <si>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</si>
  <si>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</si>
  <si>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</si>
  <si>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</si>
  <si>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</si>
  <si>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</si>
  <si>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</si>
  <si>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</si>
  <si>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</si>
  <si>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</si>
  <si>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</si>
  <si>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</si>
  <si>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</si>
  <si>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</si>
  <si>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</si>
  <si>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</si>
  <si>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</si>
  <si>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</si>
  <si>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</si>
  <si>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</si>
  <si>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</si>
  <si>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</si>
  <si>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</si>
  <si>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</si>
  <si>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</si>
  <si>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</si>
  <si>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</si>
  <si>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</si>
  <si>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</si>
  <si>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</si>
  <si>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</si>
  <si>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</si>
  <si>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</si>
  <si>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</si>
  <si>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</si>
  <si>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</si>
  <si>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</si>
  <si>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</si>
  <si>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</si>
  <si>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</si>
  <si>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</si>
  <si>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</si>
  <si>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</si>
  <si>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</si>
  <si>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</si>
  <si>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</si>
  <si>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</si>
  <si>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</si>
  <si>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</si>
  <si>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</si>
  <si>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</si>
  <si>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</si>
  <si>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</si>
  <si>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</si>
  <si>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</si>
  <si>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</si>
  <si>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</si>
  <si>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</si>
  <si>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</si>
  <si>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</si>
  <si>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</si>
  <si>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</si>
  <si>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</si>
  <si>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</si>
  <si>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</si>
  <si>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</si>
  <si>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</si>
  <si>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</si>
  <si>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</si>
  <si>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</si>
  <si>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</si>
  <si>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</si>
  <si>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</si>
  <si>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</si>
  <si>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</si>
  <si>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</si>
  <si>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</si>
  <si>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</si>
  <si>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</si>
  <si>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</si>
  <si>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</si>
  <si>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</si>
  <si>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</si>
  <si>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</si>
  <si>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</si>
  <si>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</si>
  <si>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</si>
  <si>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</si>
  <si>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</si>
  <si>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</si>
  <si>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</si>
  <si>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</si>
  <si>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</si>
  <si>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</si>
  <si>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</si>
  <si>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</si>
  <si>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</si>
  <si>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</si>
  <si>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</si>
  <si>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</si>
  <si>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</si>
  <si>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</si>
  <si>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</si>
  <si>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</si>
  <si>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</si>
  <si>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</si>
  <si>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</si>
  <si>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</si>
  <si>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</si>
  <si>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</si>
  <si>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</si>
  <si>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</si>
  <si>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</si>
  <si>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</si>
  <si>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</si>
  <si>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</si>
  <si>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</si>
  <si>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</si>
  <si>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</si>
  <si>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</si>
  <si>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</si>
  <si>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</si>
  <si>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</si>
  <si>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</si>
  <si>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</si>
  <si>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</si>
  <si>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</si>
  <si>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</si>
  <si>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</si>
  <si>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</si>
  <si>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</si>
  <si>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</si>
  <si>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</si>
  <si>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</si>
  <si>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</si>
  <si>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</si>
  <si>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</si>
  <si>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</si>
  <si>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</si>
  <si>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</si>
  <si>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</si>
  <si>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</si>
  <si>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</si>
  <si>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</si>
  <si>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</si>
  <si>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</si>
  <si>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</si>
  <si>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</si>
  <si>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</si>
  <si>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</si>
  <si>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</si>
  <si>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</si>
  <si>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</si>
  <si>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</si>
  <si>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</si>
  <si>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</si>
  <si>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</si>
  <si>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</si>
  <si>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</si>
  <si>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</si>
  <si>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</si>
  <si>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</si>
  <si>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</si>
  <si>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</si>
  <si>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</si>
  <si>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</si>
  <si>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</si>
  <si>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</si>
  <si>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</si>
  <si>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</si>
  <si>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</si>
  <si>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</si>
  <si>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</si>
  <si>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</si>
  <si>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</si>
  <si>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</si>
  <si>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</si>
  <si>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</si>
  <si>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</si>
  <si>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</si>
  <si>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</si>
  <si>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</si>
  <si>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</si>
  <si>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</si>
  <si>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</si>
  <si>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</si>
  <si>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</si>
  <si>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</si>
  <si>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</si>
  <si>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</si>
  <si>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</si>
  <si>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</si>
  <si>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</si>
  <si>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</si>
  <si>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</si>
  <si>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</si>
  <si>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</si>
  <si>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</si>
  <si>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</si>
  <si>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</si>
  <si>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</si>
  <si>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</si>
  <si>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</si>
  <si>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</si>
  <si>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</si>
  <si>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</si>
  <si>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</si>
  <si>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</si>
  <si>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</si>
  <si>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</si>
  <si>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</si>
  <si>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</si>
  <si>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</si>
  <si>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</si>
  <si>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</si>
  <si>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</si>
  <si>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</si>
  <si>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</si>
  <si>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</si>
  <si>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</si>
  <si>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</si>
  <si>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</si>
  <si>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</si>
  <si>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</si>
  <si>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</si>
  <si>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</si>
  <si>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</si>
  <si>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</si>
  <si>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</si>
  <si>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</si>
  <si>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</si>
  <si>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</si>
  <si>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</si>
  <si>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</si>
  <si>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</si>
  <si>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</si>
  <si>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</si>
  <si>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</si>
  <si>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</si>
  <si>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</si>
  <si>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</si>
  <si>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</si>
  <si>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</si>
  <si>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</si>
  <si>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</si>
  <si>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</si>
  <si>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</si>
  <si>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</si>
  <si>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</si>
  <si>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</si>
  <si>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</si>
  <si>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</si>
  <si>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</si>
  <si>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</si>
  <si>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</si>
  <si>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</si>
  <si>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</si>
  <si>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</si>
  <si>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</si>
  <si>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</si>
  <si>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</si>
  <si>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</si>
  <si>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</si>
  <si>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</si>
  <si>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</si>
  <si>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</si>
  <si>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</si>
  <si>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</si>
  <si>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</si>
  <si>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</si>
  <si>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</si>
  <si>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</si>
  <si>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</si>
  <si>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</si>
  <si>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</si>
  <si>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</si>
  <si>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</si>
  <si>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</si>
  <si>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</si>
  <si>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</si>
  <si>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</si>
  <si>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</si>
  <si>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</si>
  <si>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</si>
  <si>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</si>
  <si>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</si>
  <si>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</si>
  <si>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</si>
  <si>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</si>
  <si>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</si>
  <si>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</si>
  <si>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</si>
  <si>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</si>
  <si>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</si>
  <si>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</si>
  <si>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</si>
  <si>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</si>
  <si>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</si>
  <si>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</si>
  <si>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</si>
  <si>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</si>
  <si>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</si>
  <si>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</si>
  <si>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</si>
  <si>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</si>
  <si>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</si>
  <si>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</si>
  <si>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</si>
  <si>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</si>
  <si>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</si>
  <si>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</si>
  <si>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</si>
  <si>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</si>
  <si>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</si>
  <si>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</si>
  <si>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</si>
  <si>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</si>
  <si>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</si>
  <si>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</si>
  <si>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</si>
  <si>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</si>
  <si>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</si>
  <si>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</si>
  <si>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</si>
  <si>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</si>
  <si>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</si>
  <si>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</si>
  <si>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</si>
  <si>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</si>
  <si>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</si>
  <si>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</si>
  <si>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</si>
  <si>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</si>
  <si>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</si>
  <si>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</si>
  <si>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</si>
  <si>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</si>
  <si>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</si>
  <si>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</si>
  <si>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</si>
  <si>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</si>
  <si>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</si>
  <si>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</si>
  <si>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</si>
  <si>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</si>
  <si>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</si>
  <si>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</si>
  <si>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</si>
  <si>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</si>
  <si>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</si>
  <si>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</si>
  <si>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</si>
  <si>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</si>
  <si>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</si>
  <si>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</si>
  <si>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</si>
  <si>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</si>
  <si>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</si>
  <si>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</si>
  <si>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</si>
  <si>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</si>
  <si>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</si>
  <si>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</si>
  <si>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</si>
  <si>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</si>
  <si>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</si>
  <si>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</si>
  <si>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</si>
  <si>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</si>
  <si>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</si>
  <si>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</si>
  <si>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</si>
  <si>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</si>
  <si>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</si>
  <si>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</si>
  <si>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</si>
  <si>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</si>
  <si>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</si>
  <si>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</si>
  <si>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</si>
  <si>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</si>
  <si>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</si>
  <si>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</si>
  <si>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</si>
  <si>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</si>
  <si>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</si>
  <si>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</si>
  <si>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</si>
  <si>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</si>
  <si>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</si>
  <si>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</si>
  <si>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</si>
  <si>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</si>
  <si>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</si>
  <si>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</si>
  <si>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</si>
  <si>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</si>
  <si>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</si>
  <si>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</si>
  <si>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</si>
  <si>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</si>
  <si>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</si>
  <si>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</si>
  <si>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</si>
  <si>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</si>
  <si>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</si>
  <si>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</si>
  <si>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</si>
  <si>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</si>
  <si>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</si>
  <si>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</si>
  <si>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</si>
  <si>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</si>
  <si>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</si>
  <si>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</si>
  <si>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</si>
  <si>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</si>
  <si>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</si>
  <si>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</si>
  <si>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</si>
  <si>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</si>
  <si>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</si>
  <si>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</si>
  <si>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</si>
  <si>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</si>
  <si>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</si>
  <si>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</si>
  <si>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</si>
  <si>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</si>
  <si>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</si>
  <si>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</si>
  <si>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</si>
  <si>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</si>
  <si>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</si>
  <si>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</si>
  <si>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</si>
  <si>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</si>
  <si>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</si>
  <si>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</si>
  <si>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</si>
  <si>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</si>
  <si>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</si>
  <si>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</si>
  <si>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</si>
  <si>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</si>
  <si>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</si>
  <si>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</si>
  <si>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</si>
  <si>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</si>
  <si>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</si>
  <si>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</si>
  <si>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</si>
  <si>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</si>
  <si>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</si>
  <si>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</si>
  <si>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</si>
  <si>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</si>
  <si>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</si>
  <si>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</si>
  <si>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</si>
  <si>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</si>
  <si>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</si>
  <si>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</si>
  <si>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</si>
  <si>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</si>
  <si>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</si>
  <si>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</si>
  <si>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</si>
  <si>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</si>
  <si>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</si>
  <si>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</si>
  <si>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</si>
  <si>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</si>
  <si>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</si>
  <si>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</si>
  <si>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</si>
  <si>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</si>
  <si>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</si>
  <si>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</si>
  <si>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</si>
  <si>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</si>
  <si>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</si>
  <si>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</si>
  <si>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</si>
  <si>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</si>
  <si>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</si>
  <si>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</si>
  <si>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</si>
  <si>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</si>
  <si>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</si>
  <si>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</si>
  <si>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</si>
  <si>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</si>
  <si>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</si>
  <si>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</si>
  <si>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</si>
  <si>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</si>
  <si>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</si>
  <si>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</si>
  <si>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</si>
  <si>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</si>
  <si>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</si>
  <si>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</si>
  <si>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</si>
  <si>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</si>
  <si>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</si>
  <si>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</si>
  <si>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</si>
  <si>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</si>
  <si>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</si>
  <si>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</si>
  <si>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</si>
  <si>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</si>
  <si>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</si>
  <si>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</si>
  <si>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</si>
  <si>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</si>
  <si>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</si>
  <si>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</si>
  <si>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</si>
  <si>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</si>
  <si>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</si>
  <si>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</si>
  <si>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</si>
  <si>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</si>
  <si>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</si>
  <si>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</si>
  <si>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</si>
  <si>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</si>
  <si>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</si>
  <si>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</si>
  <si>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</si>
  <si>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</si>
  <si>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</si>
  <si>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</si>
  <si>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</si>
  <si>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</si>
  <si>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</si>
  <si>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</si>
  <si>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</si>
  <si>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</si>
  <si>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</si>
  <si>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</si>
  <si>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</si>
  <si>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</si>
  <si>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</si>
  <si>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</si>
  <si>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</si>
  <si>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</si>
  <si>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</si>
  <si>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</si>
  <si>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</si>
  <si>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</si>
  <si>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</si>
  <si>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</si>
  <si>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</si>
  <si>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</si>
  <si>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</si>
  <si>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</si>
  <si>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</si>
  <si>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</si>
  <si>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</si>
  <si>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</si>
  <si>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</si>
  <si>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</si>
  <si>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</si>
  <si>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</si>
  <si>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</si>
  <si>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</si>
  <si>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</si>
  <si>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</si>
  <si>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</si>
  <si>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</si>
  <si>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</si>
  <si>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</si>
  <si>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</si>
  <si>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</si>
  <si>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</si>
  <si>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</si>
  <si>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</si>
  <si>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</si>
  <si>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</si>
  <si>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</si>
  <si>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</si>
  <si>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</si>
  <si>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</si>
  <si>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</si>
  <si>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</si>
  <si>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</si>
  <si>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</si>
  <si>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</si>
  <si>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</si>
  <si>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</si>
  <si>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</si>
  <si>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</si>
  <si>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</si>
  <si>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</si>
  <si>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</si>
  <si>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</si>
  <si>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</si>
  <si>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</si>
  <si>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</si>
  <si>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</si>
  <si>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</si>
  <si>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</si>
  <si>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</si>
  <si>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</si>
  <si>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</si>
  <si>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</si>
  <si>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</si>
  <si>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</si>
  <si>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</si>
  <si>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</si>
  <si>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</si>
  <si>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</si>
  <si>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</si>
  <si>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</si>
  <si>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</si>
  <si>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</si>
  <si>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</si>
  <si>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</si>
  <si>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</si>
  <si>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</si>
  <si>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</si>
  <si>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</si>
  <si>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</si>
  <si>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</si>
  <si>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</si>
  <si>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</si>
  <si>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</si>
  <si>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</si>
  <si>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</si>
  <si>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</si>
  <si>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</si>
  <si>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</si>
  <si>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</si>
  <si>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</si>
  <si>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</si>
  <si>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</si>
  <si>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</si>
  <si>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</si>
  <si>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</si>
  <si>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</si>
  <si>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</si>
  <si>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</si>
  <si>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</si>
  <si>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</si>
  <si>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</si>
  <si>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</si>
  <si>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</si>
  <si>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</si>
  <si>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</si>
  <si>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</si>
  <si>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</si>
  <si>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</si>
  <si>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</si>
  <si>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</si>
  <si>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</si>
  <si>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</si>
  <si>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</si>
  <si>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</si>
  <si>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</si>
  <si>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</si>
  <si>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</si>
  <si>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</si>
  <si>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</si>
  <si>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</si>
  <si>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</si>
  <si>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</si>
  <si>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</si>
  <si>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</si>
  <si>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</si>
  <si>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</si>
  <si>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</si>
  <si>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</si>
  <si>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</si>
  <si>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</si>
  <si>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</si>
  <si>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</si>
  <si>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</si>
  <si>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</si>
  <si>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</si>
  <si>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</si>
  <si>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</si>
  <si>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</si>
  <si>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</si>
  <si>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</si>
  <si>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</si>
  <si>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</si>
  <si>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</si>
  <si>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</si>
  <si>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</si>
  <si>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</si>
  <si>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</si>
  <si>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</si>
  <si>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</si>
  <si>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</si>
  <si>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</si>
  <si>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</si>
  <si>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</si>
  <si>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</si>
  <si>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</si>
  <si>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</si>
  <si>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</si>
  <si>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</si>
  <si>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</si>
  <si>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</si>
  <si>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</si>
  <si>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</si>
  <si>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</si>
  <si>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</si>
  <si>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</si>
  <si>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</si>
  <si>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</si>
  <si>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</si>
  <si>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</si>
  <si>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</si>
  <si>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</si>
  <si>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</si>
  <si>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</si>
  <si>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</si>
  <si>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</si>
  <si>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</si>
  <si>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</si>
  <si>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</si>
  <si>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</si>
  <si>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</si>
  <si>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</si>
  <si>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</si>
  <si>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</si>
  <si>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</si>
  <si>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</si>
  <si>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</si>
  <si>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</si>
  <si>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</si>
  <si>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</si>
  <si>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</si>
  <si>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</si>
  <si>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</si>
  <si>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</si>
  <si>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</si>
  <si>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</si>
  <si>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</si>
  <si>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</si>
  <si>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</si>
  <si>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</si>
  <si>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</si>
  <si>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</si>
  <si>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</si>
  <si>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</si>
  <si>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</si>
  <si>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</si>
  <si>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</si>
  <si>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</si>
  <si>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</si>
  <si>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</si>
  <si>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</si>
  <si>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</si>
  <si>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</si>
  <si>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</si>
  <si>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</si>
  <si>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</si>
  <si>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</si>
  <si>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</si>
  <si>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</si>
  <si>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</si>
  <si>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</si>
  <si>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</si>
  <si>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</si>
  <si>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</si>
  <si>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</si>
  <si>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</si>
  <si>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</si>
  <si>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</si>
  <si>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</si>
  <si>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</si>
  <si>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</si>
  <si>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</si>
  <si>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</si>
  <si>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</si>
  <si>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</si>
  <si>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</si>
  <si>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</si>
  <si>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</si>
  <si>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</si>
  <si>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</si>
  <si>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</si>
  <si>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</si>
  <si>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</si>
  <si>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</si>
  <si>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</si>
  <si>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</si>
  <si>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</si>
  <si>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</si>
  <si>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</si>
  <si>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</si>
  <si>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</si>
  <si>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</si>
  <si>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</si>
  <si>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</si>
  <si>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</si>
  <si>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</si>
  <si>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</si>
  <si>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</si>
  <si>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</si>
  <si>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</si>
  <si>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</si>
  <si>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</si>
  <si>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</si>
  <si>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</si>
  <si>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</si>
  <si>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</si>
  <si>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</si>
  <si>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</si>
  <si>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</si>
  <si>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</si>
  <si>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</si>
  <si>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</si>
  <si>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</si>
  <si>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</si>
  <si>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</si>
  <si>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</si>
  <si>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</si>
  <si>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</si>
  <si>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</si>
  <si>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</si>
  <si>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</si>
  <si>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</si>
  <si>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</si>
  <si>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</si>
  <si>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</si>
  <si>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</si>
  <si>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</si>
  <si>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</si>
  <si>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</si>
  <si>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</si>
  <si>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</si>
  <si>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</si>
  <si>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</si>
  <si>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</si>
  <si>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</si>
  <si>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</si>
  <si>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</si>
  <si>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</si>
  <si>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</si>
  <si>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</si>
  <si>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</si>
  <si>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</si>
  <si>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</si>
  <si>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</si>
  <si>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</si>
  <si>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</si>
  <si>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</si>
  <si>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</si>
  <si>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</si>
  <si>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</si>
  <si>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</si>
  <si>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</si>
  <si>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</si>
  <si>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</si>
  <si>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</si>
  <si>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</si>
  <si>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</si>
  <si>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</si>
  <si>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</si>
  <si>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</si>
  <si>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</si>
  <si>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</si>
  <si>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</si>
  <si>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</si>
  <si>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</si>
  <si>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</si>
  <si>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</si>
  <si>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</si>
  <si>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</si>
  <si>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</si>
  <si>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</si>
  <si>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</si>
  <si>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</si>
  <si>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</si>
  <si>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</si>
  <si>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</si>
  <si>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</si>
  <si>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</si>
  <si>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</si>
  <si>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</si>
  <si>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</si>
  <si>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</si>
  <si>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</si>
  <si>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</si>
  <si>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</si>
  <si>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</si>
  <si>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</si>
  <si>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</si>
  <si>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</si>
  <si>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</si>
  <si>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</si>
  <si>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</si>
  <si>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</si>
  <si>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</si>
  <si>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</si>
  <si>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</si>
  <si>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</si>
  <si>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</si>
  <si>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</si>
  <si>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</si>
  <si>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</si>
  <si>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</si>
  <si>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</si>
  <si>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</si>
  <si>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</si>
  <si>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</si>
  <si>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</si>
  <si>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</si>
  <si>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</si>
  <si>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</si>
  <si>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</si>
  <si>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</si>
  <si>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</si>
  <si>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</si>
  <si>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</si>
  <si>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</si>
  <si>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</si>
  <si>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</si>
  <si>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</si>
  <si>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</si>
  <si>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</si>
  <si>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</si>
  <si>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</si>
  <si>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</si>
  <si>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</si>
  <si>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</si>
  <si>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</si>
  <si>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</si>
  <si>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</si>
  <si>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</si>
  <si>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</si>
  <si>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</si>
  <si>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</si>
  <si>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</si>
  <si>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</si>
  <si>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</si>
  <si>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</si>
  <si>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</si>
  <si>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</si>
  <si>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</si>
  <si>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</si>
  <si>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</si>
  <si>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</si>
  <si>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</si>
  <si>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</si>
  <si>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</si>
  <si>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</si>
  <si>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</si>
  <si>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</si>
  <si>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</si>
  <si>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</si>
  <si>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</si>
  <si>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</si>
  <si>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</si>
  <si>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</si>
  <si>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</si>
  <si>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</si>
  <si>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</si>
  <si>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</si>
  <si>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</si>
  <si>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</si>
  <si>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</si>
  <si>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</si>
  <si>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</si>
  <si>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</si>
  <si>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</si>
  <si>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</si>
  <si>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</si>
  <si>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</si>
  <si>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</si>
  <si>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</si>
  <si>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</si>
  <si>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</si>
  <si>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</si>
  <si>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</si>
  <si>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</si>
  <si>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</si>
  <si>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</si>
  <si>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</si>
  <si>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</si>
  <si>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</si>
  <si>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</si>
  <si>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</si>
  <si>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</si>
  <si>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</si>
  <si>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</si>
  <si>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</si>
  <si>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</si>
  <si>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</si>
  <si>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</si>
  <si>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</si>
  <si>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</si>
  <si>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</si>
  <si>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</si>
  <si>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</si>
  <si>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</si>
  <si>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</si>
  <si>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</si>
  <si>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</si>
  <si>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</si>
  <si>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</si>
  <si>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</si>
  <si>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</si>
  <si>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</si>
  <si>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</si>
  <si>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</si>
  <si>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</si>
  <si>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</si>
  <si>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</si>
  <si>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</si>
  <si>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</si>
  <si>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</si>
  <si>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</si>
  <si>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</si>
  <si>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</si>
  <si>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</si>
  <si>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</si>
  <si>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</si>
  <si>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</si>
  <si>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</si>
  <si>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</si>
  <si>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</si>
  <si>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</si>
  <si>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</si>
  <si>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</si>
  <si>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</si>
  <si>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</si>
  <si>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</si>
  <si>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</si>
  <si>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</si>
  <si>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</si>
  <si>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</si>
  <si>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</si>
  <si>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</si>
  <si>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</si>
  <si>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</si>
  <si>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</si>
  <si>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</si>
  <si>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</si>
  <si>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</si>
  <si>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</si>
  <si>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</si>
  <si>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</si>
  <si>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</si>
  <si>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</si>
  <si>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</si>
  <si>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</si>
  <si>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</si>
  <si>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</si>
  <si>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</si>
  <si>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</si>
  <si>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</si>
  <si>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</si>
  <si>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</si>
  <si>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</si>
  <si>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</si>
  <si>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</si>
  <si>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</si>
  <si>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</si>
  <si>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</si>
  <si>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</si>
  <si>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</si>
  <si>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</si>
  <si>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</si>
  <si>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</si>
  <si>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</si>
  <si>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</si>
  <si>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</si>
  <si>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</si>
  <si>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</si>
  <si>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</si>
  <si>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</si>
  <si>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</si>
  <si>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</si>
  <si>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</si>
  <si>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</si>
  <si>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</si>
  <si>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</si>
  <si>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</si>
  <si>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</si>
  <si>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</si>
  <si>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</si>
  <si>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</si>
  <si>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</si>
  <si>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</si>
  <si>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</si>
  <si>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</si>
  <si>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</si>
  <si>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</si>
  <si>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</si>
  <si>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</si>
  <si>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</si>
  <si>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</si>
  <si>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</si>
  <si>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</si>
  <si>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</si>
  <si>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</si>
  <si>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</si>
  <si>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</si>
  <si>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</si>
  <si>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</si>
  <si>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</si>
  <si>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</si>
  <si>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</si>
  <si>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</si>
  <si>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</si>
  <si>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</si>
  <si>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</si>
  <si>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</si>
  <si>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</si>
  <si>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</si>
  <si>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</si>
  <si>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</si>
  <si>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</si>
  <si>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</si>
  <si>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</si>
  <si>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</si>
  <si>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</si>
  <si>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</si>
  <si>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</si>
  <si>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</si>
  <si>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</si>
  <si>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</si>
  <si>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</si>
  <si>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</si>
  <si>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</si>
  <si>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</si>
  <si>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</si>
  <si>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</si>
  <si>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</si>
  <si>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</si>
  <si>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</si>
  <si>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</si>
  <si>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</si>
  <si>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</si>
  <si>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</si>
  <si>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</si>
  <si>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</si>
  <si>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</si>
  <si>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</si>
  <si>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</si>
  <si>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</si>
  <si>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</si>
  <si>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</si>
  <si>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</si>
  <si>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</si>
  <si>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</si>
  <si>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</si>
  <si>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</si>
  <si>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</si>
  <si>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</si>
  <si>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</si>
  <si>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</si>
  <si>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</si>
  <si>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</si>
  <si>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</si>
  <si>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</si>
  <si>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</si>
  <si>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</si>
  <si>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</si>
  <si>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</si>
  <si>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</si>
  <si>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</si>
  <si>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</si>
  <si>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</si>
  <si>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</si>
  <si>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</si>
  <si>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</si>
  <si>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</si>
  <si>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</si>
  <si>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</si>
  <si>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</si>
  <si>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</si>
  <si>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</si>
  <si>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</si>
  <si>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</si>
  <si>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</si>
  <si>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</si>
  <si>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</si>
  <si>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</si>
  <si>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</si>
  <si>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</si>
  <si>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</si>
  <si>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</si>
  <si>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</si>
  <si>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</si>
  <si>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</si>
  <si>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</si>
  <si>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</si>
  <si>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</si>
  <si>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</si>
  <si>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</si>
  <si>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</si>
  <si>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</si>
  <si>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</si>
  <si>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</si>
  <si>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</si>
  <si>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</si>
  <si>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</si>
  <si>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</si>
  <si>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</si>
  <si>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</si>
  <si>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</si>
  <si>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</si>
  <si>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</si>
  <si>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</si>
  <si>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</si>
  <si>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</si>
  <si>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</si>
  <si>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</si>
  <si>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</si>
  <si>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</si>
  <si>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</si>
  <si>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</si>
  <si>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</si>
  <si>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</si>
  <si>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</si>
  <si>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</si>
  <si>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</si>
  <si>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</si>
  <si>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</si>
  <si>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</si>
  <si>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</si>
  <si>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</si>
  <si>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</si>
  <si>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</si>
  <si>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</si>
  <si>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</si>
  <si>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</si>
  <si>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</si>
  <si>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</si>
  <si>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</si>
  <si>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</si>
  <si>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</si>
  <si>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</si>
  <si>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</si>
  <si>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</si>
  <si>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</si>
  <si>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</si>
  <si>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</si>
  <si>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</si>
  <si>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</si>
  <si>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</si>
  <si>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</si>
  <si>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</si>
  <si>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</si>
  <si>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</si>
  <si>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</si>
  <si>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</si>
  <si>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</si>
  <si>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</si>
  <si>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</si>
  <si>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</si>
  <si>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</si>
  <si>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</si>
  <si>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</si>
  <si>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</si>
  <si>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</si>
  <si>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</si>
  <si>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</si>
  <si>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</si>
  <si>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</si>
  <si>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</si>
  <si>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</si>
  <si>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</si>
  <si>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</si>
  <si>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</si>
  <si>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</si>
  <si>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</si>
  <si>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</si>
  <si>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</si>
  <si>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</si>
  <si>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</si>
  <si>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</si>
  <si>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</si>
  <si>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</si>
  <si>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</si>
  <si>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</si>
  <si>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</si>
  <si>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</si>
  <si>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</si>
  <si>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</si>
  <si>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</si>
  <si>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</si>
  <si>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</si>
  <si>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</si>
  <si>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</si>
  <si>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</si>
  <si>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</si>
  <si>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</si>
  <si>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</si>
  <si>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</si>
  <si>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</si>
  <si>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</si>
  <si>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</si>
  <si>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</si>
  <si>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</si>
  <si>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</si>
  <si>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</si>
  <si>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</si>
  <si>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</si>
  <si>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</si>
  <si>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</si>
  <si>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</si>
  <si>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</si>
  <si>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</si>
  <si>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</si>
  <si>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</si>
  <si>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</si>
  <si>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</si>
  <si>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</si>
  <si>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</si>
  <si>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</si>
  <si>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</si>
  <si>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</si>
  <si>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</si>
  <si>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</si>
  <si>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</si>
  <si>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</si>
  <si>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</si>
  <si>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</si>
  <si>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</si>
  <si>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</si>
  <si>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</si>
  <si>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</si>
  <si>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</si>
  <si>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</si>
  <si>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</si>
  <si>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</si>
  <si>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</si>
  <si>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</si>
  <si>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</si>
  <si>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</si>
  <si>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</si>
  <si>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</si>
  <si>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</si>
  <si>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</si>
  <si>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</si>
  <si>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</si>
  <si>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</si>
  <si>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</si>
  <si>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</si>
  <si>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</si>
  <si>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</si>
  <si>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</si>
  <si>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</si>
  <si>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</si>
  <si>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</si>
  <si>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</si>
  <si>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</si>
  <si>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</si>
  <si>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</si>
  <si>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</si>
  <si>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</si>
  <si>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</si>
  <si>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</si>
  <si>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</si>
  <si>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</si>
  <si>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</si>
  <si>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</si>
  <si>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</si>
  <si>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</si>
  <si>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</si>
  <si>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</si>
  <si>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</si>
  <si>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</si>
  <si>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</si>
  <si>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</si>
  <si>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</si>
  <si>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</si>
  <si>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</si>
  <si>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</si>
  <si>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</si>
  <si>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</si>
  <si>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</si>
  <si>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</si>
  <si>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</si>
  <si>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</si>
  <si>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</si>
  <si>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</si>
  <si>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</si>
  <si>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</si>
  <si>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</si>
  <si>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</si>
  <si>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</si>
  <si>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</si>
  <si>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</si>
  <si>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</si>
  <si>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</si>
  <si>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</si>
  <si>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</si>
  <si>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</si>
  <si>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</si>
  <si>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</si>
  <si>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</si>
  <si>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</si>
  <si>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</si>
  <si>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</si>
  <si>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</si>
  <si>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</si>
  <si>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</si>
  <si>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</si>
  <si>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</si>
  <si>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</si>
  <si>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</si>
  <si>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</si>
  <si>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</si>
  <si>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</si>
  <si>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</si>
  <si>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</si>
  <si>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</si>
  <si>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</si>
  <si>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</si>
  <si>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</si>
  <si>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</si>
  <si>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</si>
  <si>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</si>
  <si>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</si>
  <si>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</si>
  <si>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</si>
  <si>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</si>
  <si>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</si>
  <si>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</si>
  <si>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</si>
  <si>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</si>
  <si>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</si>
  <si>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</si>
  <si>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</si>
  <si>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</si>
  <si>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</si>
  <si>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</si>
  <si>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</si>
  <si>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</si>
  <si>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</si>
  <si>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</si>
  <si>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</si>
  <si>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</si>
  <si>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</si>
  <si>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</si>
  <si>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</si>
  <si>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</si>
  <si>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</si>
  <si>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</si>
  <si>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</si>
  <si>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</si>
  <si>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</si>
  <si>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</si>
  <si>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</si>
  <si>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</si>
  <si>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</si>
  <si>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</si>
  <si>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</si>
  <si>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</si>
  <si>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</si>
  <si>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</si>
  <si>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</si>
  <si>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</si>
  <si>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</si>
  <si>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</si>
  <si>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</si>
  <si>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</si>
  <si>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</si>
  <si>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</si>
  <si>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</si>
  <si>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</si>
  <si>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</si>
  <si>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</si>
  <si>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</si>
  <si>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</si>
  <si>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</si>
  <si>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</si>
  <si>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</si>
  <si>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</si>
  <si>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</si>
  <si>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</si>
  <si>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</si>
  <si>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</si>
  <si>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</si>
  <si>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</si>
  <si>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</si>
  <si>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</si>
  <si>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</si>
  <si>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</si>
  <si>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</si>
  <si>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</si>
  <si>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</si>
  <si>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</si>
  <si>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</si>
  <si>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</si>
  <si>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</si>
  <si>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</si>
  <si>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</si>
  <si>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</si>
  <si>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</si>
  <si>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</si>
  <si>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</si>
  <si>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</si>
  <si>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</si>
  <si>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</si>
  <si>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</si>
  <si>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</si>
  <si>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</si>
  <si>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</si>
  <si>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</si>
  <si>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</si>
  <si>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</si>
  <si>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</si>
  <si>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</si>
  <si>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</si>
  <si>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</si>
  <si>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</si>
  <si>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</si>
  <si>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</si>
  <si>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</si>
  <si>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</si>
  <si>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</si>
  <si>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</si>
  <si>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</si>
  <si>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</si>
  <si>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</si>
  <si>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</si>
  <si>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</si>
  <si>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</si>
  <si>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</si>
  <si>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</si>
  <si>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</si>
  <si>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</si>
  <si>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</si>
  <si>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</si>
  <si>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</si>
  <si>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</si>
  <si>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</si>
  <si>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</si>
  <si>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</si>
  <si>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</si>
  <si>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</si>
  <si>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</si>
  <si>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</si>
  <si>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</si>
  <si>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</si>
  <si>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</si>
  <si>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</si>
  <si>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</si>
  <si>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</si>
  <si>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</si>
  <si>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</si>
  <si>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</si>
  <si>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</si>
  <si>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</si>
  <si>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</si>
  <si>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</si>
  <si>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</si>
  <si>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</si>
  <si>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</si>
  <si>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</si>
  <si>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</si>
  <si>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</si>
  <si>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</si>
  <si>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</si>
  <si>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</si>
  <si>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</si>
  <si>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</si>
  <si>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</si>
  <si>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</si>
  <si>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</si>
  <si>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</si>
  <si>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</si>
  <si>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</si>
  <si>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</si>
  <si>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</si>
  <si>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</si>
  <si>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</si>
  <si>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</si>
  <si>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</si>
  <si>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</si>
  <si>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</si>
  <si>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</si>
  <si>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</si>
  <si>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</si>
  <si>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</si>
  <si>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</si>
  <si>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</si>
  <si>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</si>
  <si>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</si>
  <si>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</si>
  <si>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</si>
  <si>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</si>
  <si>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</si>
  <si>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</si>
  <si>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</si>
  <si>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</si>
  <si>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</si>
  <si>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</si>
  <si>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</si>
  <si>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</si>
  <si>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</si>
  <si>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</si>
  <si>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</si>
  <si>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</si>
  <si>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</si>
  <si>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</si>
  <si>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</si>
  <si>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</si>
  <si>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</si>
  <si>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</si>
  <si>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</si>
  <si>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</si>
  <si>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</si>
  <si>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</si>
  <si>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</si>
  <si>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</si>
  <si>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</si>
  <si>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</si>
  <si>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</si>
  <si>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</si>
  <si>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</si>
  <si>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</si>
  <si>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</si>
  <si>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</si>
  <si>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</si>
  <si>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</si>
  <si>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</si>
  <si>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</si>
  <si>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</si>
  <si>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</si>
  <si>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</si>
  <si>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</si>
  <si>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</si>
  <si>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</si>
  <si>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</si>
  <si>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</si>
  <si>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</si>
  <si>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</si>
  <si>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</si>
  <si>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</si>
  <si>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</si>
  <si>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</si>
  <si>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</si>
  <si>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</si>
  <si>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</si>
  <si>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</si>
  <si>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</si>
  <si>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</si>
  <si>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</si>
  <si>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</si>
  <si>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</si>
  <si>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</si>
  <si>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</si>
  <si>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</si>
  <si>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</si>
  <si>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</si>
  <si>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</si>
  <si>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</si>
  <si>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</si>
  <si>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</si>
  <si>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</si>
  <si>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</si>
  <si>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</si>
  <si>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</si>
  <si>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</si>
  <si>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</si>
  <si>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</si>
  <si>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</si>
  <si>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</si>
  <si>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</si>
  <si>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</si>
  <si>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</si>
  <si>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</si>
  <si>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</si>
  <si>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</si>
  <si>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</si>
  <si>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</si>
  <si>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</si>
  <si>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</si>
  <si>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</si>
  <si>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</si>
  <si>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</si>
  <si>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</si>
  <si>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</si>
  <si>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</si>
  <si>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</si>
  <si>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</si>
  <si>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</si>
  <si>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</si>
  <si>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</si>
  <si>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</si>
  <si>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</si>
  <si>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</si>
  <si>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</si>
  <si>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</si>
  <si>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</si>
  <si>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</si>
  <si>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</si>
  <si>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</si>
  <si>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</si>
  <si>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</si>
  <si>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</si>
  <si>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</si>
  <si>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</si>
  <si>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</si>
  <si>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</si>
  <si>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</si>
  <si>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</si>
  <si>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</si>
  <si>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</si>
  <si>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</si>
  <si>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</si>
  <si>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</si>
  <si>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</si>
  <si>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</si>
  <si>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</si>
  <si>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</si>
  <si>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</si>
  <si>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</si>
  <si>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</si>
  <si>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</si>
  <si>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</si>
  <si>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</si>
  <si>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</si>
  <si>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</si>
  <si>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</si>
  <si>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</si>
  <si>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</si>
  <si>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</si>
  <si>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</si>
  <si>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</si>
  <si>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</si>
  <si>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</si>
  <si>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</si>
  <si>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</si>
  <si>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</si>
  <si>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</si>
  <si>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</si>
  <si>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</si>
  <si>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</si>
  <si>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</si>
  <si>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</si>
  <si>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</si>
  <si>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</si>
  <si>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</si>
  <si>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</si>
  <si>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</si>
  <si>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</si>
  <si>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</si>
  <si>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</si>
  <si>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</si>
  <si>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</si>
  <si>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</si>
  <si>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</si>
  <si>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</si>
  <si>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</si>
  <si>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</si>
  <si>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</si>
  <si>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</si>
  <si>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</si>
  <si>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</si>
  <si>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</si>
  <si>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</si>
  <si>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</si>
  <si>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</si>
  <si>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</si>
  <si>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</si>
  <si>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</si>
  <si>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</si>
  <si>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</si>
  <si>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</si>
  <si>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</si>
  <si>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</si>
  <si>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</si>
  <si>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</si>
  <si>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</si>
  <si>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</si>
  <si>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</si>
  <si>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</si>
  <si>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</si>
  <si>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</si>
  <si>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</si>
  <si>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</si>
  <si>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</si>
  <si>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</si>
  <si>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</si>
  <si>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</si>
  <si>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</si>
  <si>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</si>
  <si>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</si>
  <si>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</si>
  <si>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</si>
  <si>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</si>
  <si>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</si>
  <si>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</si>
  <si>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</si>
  <si>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</si>
  <si>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</si>
  <si>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</si>
  <si>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</si>
  <si>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</si>
  <si>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</si>
  <si>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</si>
  <si>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</si>
  <si>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</si>
  <si>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</si>
  <si>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</si>
  <si>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</si>
  <si>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</si>
  <si>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</si>
  <si>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</si>
  <si>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</si>
  <si>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</si>
  <si>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</si>
  <si>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</si>
  <si>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</si>
  <si>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</si>
  <si>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</si>
  <si>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</si>
  <si>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</si>
  <si>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</si>
  <si>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</si>
  <si>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</si>
  <si>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</si>
  <si>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</si>
  <si>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</si>
  <si>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</si>
  <si>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</si>
  <si>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</si>
  <si>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</si>
  <si>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</si>
  <si>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</si>
  <si>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</si>
  <si>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</si>
  <si>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</si>
  <si>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</si>
  <si>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</si>
  <si>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</si>
  <si>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</si>
  <si>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</si>
  <si>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</si>
  <si>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</si>
  <si>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</si>
  <si>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</si>
  <si>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</si>
  <si>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</si>
  <si>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</si>
  <si>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</si>
  <si>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</si>
  <si>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</si>
  <si>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</si>
  <si>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</si>
  <si>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</si>
  <si>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</si>
  <si>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</si>
  <si>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</si>
  <si>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</si>
  <si>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</si>
  <si>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</si>
  <si>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</si>
  <si>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</si>
  <si>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</si>
  <si>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</si>
  <si>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</si>
  <si>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</si>
  <si>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</si>
  <si>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</si>
  <si>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</si>
  <si>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</si>
  <si>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</si>
  <si>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</si>
  <si>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</si>
  <si>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</si>
  <si>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</si>
  <si>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</si>
  <si>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</si>
  <si>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</si>
  <si>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</si>
  <si>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</si>
  <si>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</si>
  <si>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</si>
  <si>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</si>
  <si>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</si>
  <si>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</si>
  <si>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</si>
  <si>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</si>
  <si>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</si>
  <si>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</si>
  <si>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</si>
  <si>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</si>
  <si>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</si>
  <si>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</si>
  <si>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</si>
  <si>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</si>
  <si>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</si>
  <si>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</si>
  <si>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</si>
  <si>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</si>
  <si>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</si>
  <si>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</si>
  <si>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</si>
  <si>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</si>
  <si>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</si>
  <si>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</si>
  <si>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</si>
  <si>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</si>
  <si>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</si>
  <si>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</si>
  <si>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</si>
  <si>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</si>
  <si>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</si>
  <si>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</si>
  <si>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</si>
  <si>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</si>
  <si>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</si>
  <si>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</si>
  <si>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</si>
  <si>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</si>
  <si>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</si>
  <si>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</si>
  <si>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</si>
  <si>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</si>
  <si>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</si>
  <si>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</si>
  <si>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</si>
  <si>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</si>
  <si>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</si>
  <si>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</si>
  <si>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</si>
  <si>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</si>
  <si>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</si>
  <si>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</si>
  <si>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</si>
  <si>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</si>
  <si>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</si>
  <si>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</si>
  <si>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</si>
  <si>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</si>
  <si>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</si>
  <si>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</si>
  <si>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</si>
  <si>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</si>
  <si>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</si>
  <si>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</si>
  <si>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</si>
  <si>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</si>
  <si>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</si>
  <si>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</si>
  <si>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</si>
  <si>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</si>
  <si>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</si>
  <si>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</si>
  <si>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</si>
  <si>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</si>
  <si>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</si>
  <si>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</si>
  <si>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</si>
  <si>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</si>
  <si>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</si>
  <si>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</si>
  <si>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</si>
  <si>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</si>
  <si>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</si>
  <si>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</si>
  <si>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</si>
  <si>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</si>
  <si>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</si>
  <si>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</si>
  <si>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</si>
  <si>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</si>
  <si>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</si>
  <si>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</si>
  <si>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</si>
  <si>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</si>
  <si>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</si>
  <si>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</si>
  <si>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</si>
  <si>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</si>
  <si>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</si>
  <si>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</si>
  <si>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</si>
  <si>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</si>
  <si>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</si>
  <si>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</si>
  <si>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</si>
  <si>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</si>
  <si>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</si>
  <si>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</si>
  <si>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</si>
  <si>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</si>
  <si>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</si>
  <si>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</si>
  <si>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</si>
  <si>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</si>
  <si>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</si>
  <si>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</si>
  <si>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</si>
  <si>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</si>
  <si>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</si>
  <si>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</si>
  <si>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</si>
  <si>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</si>
  <si>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</si>
  <si>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</si>
  <si>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</si>
  <si>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</si>
  <si>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</si>
  <si>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</si>
  <si>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</si>
  <si>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</si>
  <si>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</si>
  <si>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</si>
  <si>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</si>
  <si>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</si>
  <si>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</si>
  <si>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</si>
  <si>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</si>
  <si>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</si>
  <si>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</si>
  <si>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</si>
  <si>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</si>
  <si>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</si>
  <si>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</si>
  <si>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</si>
  <si>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</si>
  <si>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</si>
  <si>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</si>
  <si>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</si>
  <si>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</si>
  <si>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</si>
  <si>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</si>
  <si>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</si>
  <si>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</si>
  <si>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</si>
  <si>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</si>
  <si>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</si>
  <si>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</si>
  <si>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</si>
  <si>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</si>
  <si>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</si>
  <si>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</si>
  <si>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</si>
  <si>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</si>
  <si>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</si>
  <si>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</si>
  <si>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</si>
  <si>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</si>
  <si>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</si>
  <si>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</si>
  <si>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</si>
  <si>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</si>
  <si>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</si>
  <si>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</si>
  <si>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</si>
  <si>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</si>
  <si>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</si>
  <si>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</si>
  <si>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</si>
  <si>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</si>
  <si>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</si>
  <si>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</si>
  <si>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</si>
  <si>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</si>
  <si>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</si>
  <si>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</si>
  <si>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</si>
  <si>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</si>
  <si>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</si>
  <si>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</si>
  <si>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</si>
  <si>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</si>
  <si>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</si>
  <si>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</si>
  <si>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</si>
  <si>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</si>
  <si>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</si>
  <si>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</si>
  <si>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</si>
  <si>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</si>
  <si>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</si>
  <si>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</si>
  <si>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</si>
  <si>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</si>
  <si>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</si>
  <si>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</si>
  <si>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</si>
  <si>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</si>
  <si>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</si>
  <si>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</si>
  <si>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</si>
  <si>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</si>
  <si>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</si>
  <si>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</si>
  <si>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</si>
  <si>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</si>
  <si>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</si>
  <si>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</si>
  <si>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</si>
  <si>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</si>
  <si>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</si>
  <si>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</si>
  <si>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</si>
  <si>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</si>
  <si>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</si>
  <si>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</si>
  <si>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</si>
  <si>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</si>
  <si>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</si>
  <si>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</si>
  <si>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</si>
  <si>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</si>
  <si>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</si>
  <si>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</si>
  <si>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</si>
  <si>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</si>
  <si>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</si>
  <si>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</si>
  <si>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</si>
  <si>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</si>
  <si>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</si>
  <si>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</si>
  <si>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</si>
  <si>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</si>
  <si>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</si>
  <si>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</si>
  <si>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</si>
  <si>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</si>
  <si>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</si>
  <si>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</si>
  <si>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</si>
  <si>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</si>
  <si>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</si>
  <si>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</si>
  <si>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</si>
  <si>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</si>
  <si>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</si>
  <si>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</si>
  <si>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</si>
  <si>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</si>
  <si>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</si>
  <si>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</si>
  <si>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</si>
  <si>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</si>
  <si>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</si>
  <si>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</si>
  <si>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</si>
  <si>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</si>
  <si>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</si>
  <si>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</si>
  <si>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</si>
  <si>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</si>
  <si>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</si>
  <si>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</si>
  <si>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</si>
  <si>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</si>
  <si>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</si>
  <si>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</si>
  <si>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</si>
  <si>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</si>
  <si>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</si>
  <si>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</si>
  <si>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</si>
  <si>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</si>
  <si>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</si>
  <si>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</si>
  <si>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</si>
  <si>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</si>
  <si>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</si>
  <si>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</si>
  <si>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</si>
  <si>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</si>
  <si>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</si>
  <si>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</si>
  <si>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</si>
  <si>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</si>
  <si>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</si>
  <si>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</si>
  <si>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</si>
  <si>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</si>
  <si>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</si>
  <si>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</si>
  <si>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</si>
  <si>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</si>
  <si>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</si>
  <si>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</si>
  <si>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</si>
  <si>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</si>
  <si>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</si>
  <si>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</si>
  <si>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</si>
  <si>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</si>
  <si>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</si>
  <si>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</si>
  <si>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</si>
  <si>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</si>
  <si>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</si>
  <si>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</si>
  <si>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</si>
  <si>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</si>
  <si>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</si>
  <si>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</si>
  <si>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</si>
  <si>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</si>
  <si>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</si>
  <si>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</si>
  <si>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</si>
  <si>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</si>
  <si>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</si>
  <si>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</si>
  <si>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</si>
  <si>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</si>
  <si>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</si>
  <si>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</si>
  <si>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</si>
  <si>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</si>
  <si>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</si>
  <si>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</si>
  <si>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</si>
  <si>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</si>
  <si>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</si>
  <si>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</si>
  <si>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</si>
  <si>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</si>
  <si>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</si>
  <si>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</si>
  <si>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</si>
  <si>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</si>
  <si>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</si>
  <si>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</si>
  <si>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</si>
  <si>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</si>
  <si>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</si>
  <si>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</si>
  <si>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</si>
  <si>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</si>
  <si>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</si>
  <si>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</si>
  <si>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</si>
  <si>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</si>
  <si>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</si>
  <si>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</si>
  <si>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</si>
  <si>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</si>
  <si>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</si>
  <si>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</si>
  <si>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</si>
  <si>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</si>
  <si>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</si>
  <si>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</si>
  <si>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</si>
  <si>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</si>
  <si>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</si>
  <si>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</si>
  <si>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</si>
  <si>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</si>
  <si>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</si>
  <si>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</si>
  <si>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</si>
  <si>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</si>
  <si>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</si>
  <si>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</si>
  <si>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</si>
  <si>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</si>
  <si>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</si>
  <si>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</si>
  <si>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</si>
  <si>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</si>
  <si>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</si>
  <si>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</si>
  <si>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</si>
  <si>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</si>
  <si>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</si>
  <si>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</si>
  <si>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</si>
  <si>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</si>
  <si>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</si>
  <si>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</si>
  <si>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</si>
  <si>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</si>
  <si>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</si>
  <si>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</si>
  <si>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</si>
  <si>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</si>
  <si>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</si>
  <si>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</si>
  <si>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</si>
  <si>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</si>
  <si>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</si>
  <si>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</si>
  <si>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</si>
  <si>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</si>
  <si>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</si>
  <si>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</si>
  <si>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</si>
  <si>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</si>
  <si>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</si>
  <si>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</si>
  <si>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</si>
  <si>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</si>
  <si>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</si>
  <si>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</si>
  <si>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</si>
  <si>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</si>
  <si>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</si>
  <si>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</si>
  <si>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</si>
  <si>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</si>
  <si>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</si>
  <si>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</si>
  <si>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</si>
  <si>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</si>
  <si>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</si>
  <si>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</si>
  <si>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</si>
  <si>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</si>
  <si>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</si>
  <si>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</si>
  <si>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</si>
  <si>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</si>
  <si>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</si>
  <si>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</si>
  <si>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</si>
  <si>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</si>
  <si>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</si>
  <si>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</si>
  <si>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</si>
  <si>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</si>
  <si>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</si>
  <si>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</si>
  <si>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</si>
  <si>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</si>
  <si>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</si>
  <si>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</si>
  <si>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</si>
  <si>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</si>
  <si>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</si>
  <si>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</si>
  <si>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</si>
  <si>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</si>
  <si>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</si>
  <si>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</si>
  <si>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</si>
  <si>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</si>
  <si>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</si>
  <si>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</si>
  <si>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</si>
  <si>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</si>
  <si>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</si>
  <si>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</si>
  <si>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</si>
  <si>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</si>
  <si>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</si>
  <si>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</si>
  <si>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</si>
  <si>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</si>
  <si>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</si>
  <si>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</si>
  <si>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</si>
  <si>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</si>
  <si>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</si>
  <si>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</si>
  <si>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</si>
  <si>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</si>
  <si>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</si>
  <si>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</si>
  <si>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</si>
  <si>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</si>
  <si>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</si>
  <si>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</si>
  <si>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</si>
  <si>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</si>
  <si>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</si>
  <si>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</si>
  <si>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</si>
  <si>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</si>
  <si>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</si>
  <si>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</si>
  <si>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</si>
  <si>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</si>
  <si>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</si>
  <si>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</si>
  <si>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</si>
  <si>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</si>
  <si>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</si>
  <si>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</si>
  <si>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</si>
  <si>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</si>
  <si>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</si>
  <si>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</si>
  <si>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</si>
  <si>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</si>
  <si>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</si>
  <si>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</si>
  <si>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</si>
  <si>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</si>
  <si>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</si>
  <si>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</si>
  <si>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</si>
  <si>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</si>
  <si>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</si>
  <si>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</si>
  <si>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</si>
  <si>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</si>
  <si>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</si>
  <si>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</si>
  <si>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</si>
  <si>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</si>
  <si>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</si>
  <si>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</si>
  <si>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</si>
  <si>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</si>
  <si>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</si>
  <si>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</si>
  <si>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</si>
  <si>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</si>
  <si>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</si>
  <si>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</si>
  <si>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</si>
  <si>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</si>
  <si>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</si>
  <si>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</si>
  <si>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</si>
  <si>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</si>
  <si>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</si>
  <si>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</si>
  <si>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</si>
  <si>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</si>
  <si>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</si>
  <si>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</si>
  <si>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</si>
  <si>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</si>
  <si>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</si>
  <si>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</si>
  <si>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</si>
  <si>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</si>
  <si>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</si>
  <si>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</si>
  <si>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</si>
  <si>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</si>
  <si>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</si>
  <si>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</si>
  <si>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</si>
  <si>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</si>
  <si>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</si>
  <si>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</si>
  <si>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</si>
  <si>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</si>
  <si>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</si>
  <si>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</si>
  <si>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</si>
  <si>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</si>
  <si>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</si>
  <si>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</si>
  <si>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</si>
  <si>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</si>
  <si>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</si>
  <si>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</si>
  <si>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</si>
  <si>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</si>
  <si>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</si>
  <si>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</si>
  <si>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</si>
  <si>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</si>
  <si>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</si>
  <si>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</si>
  <si>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</si>
  <si>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</si>
  <si>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</si>
  <si>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</si>
  <si>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</si>
  <si>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</si>
  <si>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</si>
  <si>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</si>
  <si>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</si>
  <si>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</si>
  <si>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</si>
  <si>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</si>
  <si>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</si>
  <si>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</si>
  <si>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</si>
  <si>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</si>
  <si>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</si>
  <si>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</si>
  <si>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</si>
  <si>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</si>
  <si>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</si>
  <si>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</si>
  <si>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</si>
  <si>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</si>
  <si>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</si>
  <si>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</si>
  <si>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</si>
  <si>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</si>
  <si>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</si>
  <si>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</si>
  <si>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</si>
  <si>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</si>
  <si>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</si>
  <si>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</si>
  <si>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</si>
  <si>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</si>
  <si>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</si>
  <si>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</si>
  <si>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</si>
  <si>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</si>
  <si>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</si>
  <si>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</si>
  <si>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</si>
  <si>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</si>
  <si>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</si>
  <si>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</si>
  <si>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</si>
  <si>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</si>
  <si>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</si>
  <si>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</si>
  <si>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</si>
  <si>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</si>
  <si>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</si>
  <si>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</si>
  <si>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</si>
  <si>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</si>
  <si>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</si>
  <si>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</si>
  <si>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</si>
  <si>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</si>
  <si>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</si>
  <si>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</si>
  <si>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</si>
  <si>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</si>
  <si>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</si>
  <si>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</si>
  <si>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</si>
  <si>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</si>
  <si>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</si>
  <si>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</si>
  <si>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</si>
  <si>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</si>
  <si>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</si>
  <si>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</si>
  <si>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</si>
  <si>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</si>
  <si>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</si>
  <si>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</si>
  <si>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</si>
  <si>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</si>
  <si>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</si>
  <si>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</si>
  <si>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</si>
  <si>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</si>
  <si>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</si>
  <si>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</si>
  <si>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</si>
  <si>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</si>
  <si>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</si>
  <si>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</si>
  <si>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</si>
  <si>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</si>
  <si>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</si>
  <si>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</si>
  <si>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</si>
  <si>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</si>
  <si>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</si>
  <si>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</si>
  <si>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</si>
  <si>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</si>
  <si>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</si>
  <si>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</si>
  <si>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</si>
  <si>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</si>
  <si>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</si>
  <si>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</si>
  <si>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</si>
  <si>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</si>
  <si>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</si>
  <si>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</si>
  <si>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</si>
  <si>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</si>
  <si>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</si>
  <si>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</si>
  <si>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</si>
  <si>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</si>
  <si>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</si>
  <si>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</si>
  <si>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</si>
  <si>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</si>
  <si>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</si>
  <si>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</si>
  <si>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</si>
  <si>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</si>
  <si>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</si>
  <si>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</si>
  <si>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</si>
  <si>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</si>
  <si>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</si>
  <si>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</si>
  <si>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</si>
  <si>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</si>
  <si>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</si>
  <si>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</si>
  <si>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</si>
  <si>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</si>
  <si>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</si>
  <si>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</si>
  <si>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</si>
  <si>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</si>
  <si>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</si>
  <si>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</si>
  <si>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</si>
  <si>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</si>
  <si>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</si>
  <si>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</si>
  <si>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</si>
  <si>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</si>
  <si>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</si>
  <si>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</si>
  <si>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</si>
  <si>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</si>
  <si>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</si>
  <si>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</si>
  <si>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</si>
  <si>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</si>
  <si>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</si>
  <si>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</si>
  <si>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</si>
  <si>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</si>
  <si>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</si>
  <si>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</si>
  <si>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</si>
  <si>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</si>
  <si>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</si>
  <si>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</si>
  <si>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</si>
  <si>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</si>
  <si>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</si>
  <si>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</si>
  <si>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</si>
  <si>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</si>
  <si>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</si>
  <si>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</si>
  <si>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</si>
  <si>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</si>
  <si>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</si>
  <si>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</si>
  <si>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</si>
  <si>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</si>
  <si>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</si>
  <si>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</si>
  <si>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</si>
  <si>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</si>
  <si>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</si>
  <si>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</si>
  <si>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</si>
  <si>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</si>
  <si>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</si>
  <si>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</si>
  <si>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</si>
  <si>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</si>
  <si>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</si>
  <si>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</si>
  <si>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</si>
  <si>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</si>
  <si>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</si>
  <si>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</si>
  <si>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</si>
  <si>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</si>
  <si>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</si>
  <si>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</si>
  <si>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</si>
  <si>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</si>
  <si>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</si>
  <si>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</si>
  <si>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</si>
  <si>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</si>
  <si>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</si>
  <si>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</si>
  <si>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</si>
  <si>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</si>
  <si>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</si>
  <si>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</si>
  <si>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</si>
  <si>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</si>
  <si>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</si>
  <si>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</si>
  <si>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</si>
  <si>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</si>
  <si>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</si>
  <si>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</si>
  <si>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</si>
  <si>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</si>
  <si>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</si>
  <si>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</si>
  <si>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</si>
  <si>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</si>
  <si>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</si>
  <si>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</si>
  <si>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</si>
  <si>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</si>
  <si>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</si>
  <si>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</si>
  <si>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</si>
  <si>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</si>
  <si>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</si>
  <si>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</si>
  <si>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</si>
  <si>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</si>
  <si>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</si>
  <si>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</si>
  <si>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</si>
  <si>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</si>
  <si>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</si>
  <si>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</si>
  <si>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</si>
  <si>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</si>
  <si>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</si>
  <si>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</si>
  <si>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</si>
  <si>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</si>
  <si>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</si>
  <si>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</si>
  <si>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</si>
  <si>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</si>
  <si>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</si>
  <si>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</si>
  <si>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</si>
  <si>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</si>
  <si>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</si>
  <si>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</si>
  <si>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</si>
  <si>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</si>
  <si>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</si>
  <si>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</si>
  <si>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</si>
  <si>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</si>
  <si>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</si>
  <si>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</si>
  <si>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</si>
  <si>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</si>
  <si>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</si>
  <si>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</si>
  <si>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</si>
  <si>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</si>
  <si>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</si>
  <si>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</si>
  <si>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</si>
  <si>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</si>
  <si>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</si>
  <si>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</si>
  <si>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</si>
  <si>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</si>
  <si>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</si>
  <si>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</si>
  <si>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</si>
  <si>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</si>
  <si>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</si>
  <si>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</si>
  <si>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</si>
  <si>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</si>
  <si>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</si>
  <si>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</si>
  <si>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</si>
  <si>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</si>
  <si>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</si>
  <si>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</si>
  <si>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</si>
  <si>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</si>
  <si>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</si>
  <si>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</si>
  <si>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</si>
  <si>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</si>
  <si>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</si>
  <si>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</si>
  <si>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</si>
  <si>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</si>
  <si>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</si>
  <si>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</si>
  <si>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</si>
  <si>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</si>
  <si>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</si>
  <si>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</si>
  <si>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</si>
  <si>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</si>
  <si>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</si>
  <si>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</si>
  <si>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</si>
  <si>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</si>
  <si>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</si>
  <si>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</si>
  <si>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</si>
  <si>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</si>
  <si>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</si>
  <si>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</si>
  <si>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</si>
  <si>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</si>
  <si>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</si>
  <si>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</si>
  <si>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</si>
  <si>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</si>
  <si>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</si>
  <si>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</si>
  <si>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</si>
  <si>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</si>
  <si>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</si>
  <si>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</si>
  <si>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</si>
  <si>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</si>
  <si>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</si>
  <si>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</si>
  <si>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</si>
  <si>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</si>
  <si>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</si>
  <si>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</si>
  <si>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</si>
  <si>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</si>
  <si>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</si>
  <si>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</si>
  <si>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</si>
  <si>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</si>
  <si>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</si>
  <si>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</si>
  <si>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</si>
  <si>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</si>
  <si>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</si>
  <si>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</si>
  <si>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</si>
  <si>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</si>
  <si>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</si>
  <si>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</si>
  <si>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</si>
  <si>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</si>
  <si>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</si>
  <si>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</si>
  <si>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</si>
  <si>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</si>
  <si>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</si>
  <si>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</si>
  <si>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</si>
  <si>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</si>
  <si>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</si>
  <si>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</si>
  <si>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</si>
  <si>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</si>
  <si>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</si>
  <si>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</si>
  <si>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</si>
  <si>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</si>
  <si>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</si>
  <si>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</si>
  <si>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</si>
  <si>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</si>
  <si>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</si>
  <si>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</si>
  <si>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</si>
  <si>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</si>
  <si>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</si>
  <si>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</si>
  <si>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</si>
  <si>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</si>
  <si>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</si>
  <si>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</si>
  <si>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</si>
  <si>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</si>
  <si>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</si>
  <si>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</si>
  <si>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</si>
  <si>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</si>
  <si>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</si>
  <si>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</si>
  <si>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</si>
  <si>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</si>
  <si>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</si>
  <si>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</si>
  <si>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</si>
  <si>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</si>
  <si>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</si>
  <si>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</si>
  <si>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</si>
  <si>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</si>
  <si>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</si>
  <si>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</si>
  <si>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</si>
  <si>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</si>
  <si>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</si>
  <si>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</si>
  <si>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</si>
  <si>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</si>
  <si>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</si>
  <si>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</si>
  <si>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</si>
  <si>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</si>
  <si>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</si>
  <si>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</si>
  <si>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</si>
  <si>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</si>
  <si>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</si>
  <si>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</si>
  <si>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</si>
  <si>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</si>
  <si>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</si>
  <si>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</si>
  <si>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</si>
  <si>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</si>
  <si>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</si>
  <si>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</si>
  <si>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</si>
  <si>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</si>
  <si>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</si>
  <si>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</si>
  <si>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</si>
  <si>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</si>
  <si>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</si>
  <si>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</si>
  <si>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</si>
  <si>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</si>
  <si>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</si>
  <si>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</si>
  <si>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</si>
  <si>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</si>
  <si>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</si>
  <si>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</si>
  <si>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</si>
  <si>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</si>
  <si>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</si>
  <si>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</si>
  <si>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</si>
  <si>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</si>
  <si>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</si>
  <si>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</si>
  <si>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</si>
  <si>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</si>
  <si>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</si>
  <si>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</si>
  <si>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</si>
  <si>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</si>
  <si>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</si>
  <si>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</si>
  <si>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</si>
  <si>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</si>
  <si>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</si>
  <si>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</si>
  <si>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</si>
  <si>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</si>
  <si>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</si>
  <si>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</si>
  <si>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</si>
  <si>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</si>
  <si>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</si>
  <si>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</si>
  <si>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</si>
  <si>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</si>
  <si>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</si>
  <si>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</si>
  <si>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</si>
  <si>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</si>
  <si>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</si>
  <si>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</si>
  <si>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</si>
  <si>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</si>
  <si>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</si>
  <si>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</si>
  <si>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</si>
  <si>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</si>
  <si>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</si>
  <si>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</si>
  <si>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</si>
  <si>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</si>
  <si>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</si>
  <si>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</si>
  <si>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</si>
  <si>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</si>
  <si>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</si>
  <si>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</si>
  <si>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</si>
  <si>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</si>
  <si>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</si>
  <si>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</si>
  <si>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</si>
  <si>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</si>
  <si>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</si>
  <si>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</si>
  <si>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</si>
  <si>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</si>
  <si>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</si>
  <si>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</si>
  <si>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</si>
  <si>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</si>
  <si>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</si>
  <si>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</si>
  <si>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</si>
  <si>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</si>
  <si>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</si>
  <si>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</si>
  <si>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</si>
  <si>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</si>
  <si>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</si>
  <si>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</si>
  <si>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</si>
  <si>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</si>
  <si>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</si>
  <si>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</si>
  <si>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</si>
  <si>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</si>
  <si>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</si>
  <si>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</si>
  <si>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</si>
  <si>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</si>
  <si>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</si>
  <si>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</si>
  <si>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</si>
  <si>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</si>
  <si>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</si>
  <si>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</si>
  <si>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</si>
  <si>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</si>
  <si>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</si>
  <si>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</si>
  <si>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</si>
  <si>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</si>
  <si>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</si>
  <si>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</si>
  <si>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</si>
  <si>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</si>
  <si>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</si>
  <si>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</si>
  <si>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</si>
  <si>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</si>
  <si>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</si>
  <si>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</si>
  <si>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</si>
  <si>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</si>
  <si>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</si>
  <si>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</si>
  <si>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</si>
  <si>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</si>
  <si>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</si>
  <si>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</si>
  <si>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</si>
  <si>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</si>
  <si>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</si>
  <si>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</si>
  <si>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</si>
  <si>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</si>
  <si>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</si>
  <si>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</si>
  <si>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</si>
  <si>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</si>
  <si>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</si>
  <si>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</si>
  <si>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</si>
  <si>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</si>
  <si>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</si>
  <si>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</si>
  <si>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</si>
  <si>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</si>
  <si>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</si>
  <si>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</si>
  <si>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</si>
  <si>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</si>
  <si>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</si>
  <si>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</si>
  <si>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</si>
  <si>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</si>
  <si>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</si>
  <si>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</si>
  <si>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</si>
  <si>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</si>
  <si>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</si>
  <si>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</si>
  <si>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</si>
  <si>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</si>
  <si>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</si>
  <si>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</si>
  <si>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</si>
  <si>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</si>
  <si>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</si>
  <si>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</si>
  <si>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</si>
  <si>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</si>
  <si>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</si>
  <si>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</si>
  <si>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</si>
  <si>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</si>
  <si>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</si>
  <si>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</si>
  <si>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</si>
  <si>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</si>
  <si>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</si>
  <si>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</si>
  <si>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</si>
  <si>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</si>
  <si>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</si>
  <si>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</si>
  <si>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</si>
  <si>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</si>
  <si>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</si>
  <si>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</si>
  <si>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</si>
  <si>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</si>
  <si>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</si>
  <si>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</si>
  <si>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</si>
  <si>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</si>
  <si>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</si>
  <si>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</si>
  <si>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</si>
  <si>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</si>
  <si>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</si>
  <si>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</si>
  <si>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</si>
  <si>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</si>
  <si>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</si>
  <si>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</si>
  <si>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</si>
  <si>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</si>
  <si>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</si>
  <si>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</si>
  <si>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</si>
  <si>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</si>
  <si>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</si>
  <si>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</si>
  <si>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</si>
  <si>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</si>
  <si>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</si>
  <si>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</si>
  <si>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</si>
  <si>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</si>
  <si>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</si>
  <si>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</si>
  <si>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</si>
  <si>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</si>
  <si>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</si>
  <si>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</si>
  <si>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</si>
  <si>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</si>
  <si>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</si>
  <si>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</si>
  <si>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</si>
  <si>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</si>
  <si>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</si>
  <si>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</si>
  <si>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</si>
  <si>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</si>
  <si>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</si>
  <si>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</si>
  <si>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</si>
  <si>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</si>
  <si>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</si>
  <si>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</si>
  <si>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</si>
  <si>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</si>
  <si>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</si>
  <si>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</si>
  <si>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</si>
  <si>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</si>
  <si>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</si>
  <si>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</si>
  <si>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</si>
  <si>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</si>
  <si>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</si>
  <si>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</si>
  <si>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</si>
  <si>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</si>
  <si>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</si>
  <si>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</si>
  <si>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</si>
  <si>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</si>
  <si>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</si>
  <si>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</si>
  <si>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</si>
  <si>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</si>
  <si>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</si>
  <si>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</si>
  <si>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</si>
  <si>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</si>
  <si>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</si>
  <si>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</si>
  <si>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</si>
  <si>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</si>
  <si>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</si>
  <si>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</si>
  <si>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</si>
  <si>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</si>
  <si>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</si>
  <si>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</si>
  <si>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</si>
  <si>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</si>
  <si>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</si>
  <si>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</si>
  <si>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</si>
  <si>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</si>
  <si>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</si>
  <si>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</si>
  <si>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</si>
  <si>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</si>
  <si>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</si>
  <si>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</si>
  <si>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</si>
  <si>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</si>
  <si>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</si>
  <si>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</si>
  <si>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</si>
  <si>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</si>
  <si>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</si>
  <si>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</si>
  <si>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</si>
  <si>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</si>
  <si>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</si>
  <si>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</si>
  <si>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</si>
  <si>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</si>
  <si>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</si>
  <si>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</si>
  <si>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</si>
  <si>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</si>
  <si>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</si>
  <si>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</si>
  <si>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</si>
  <si>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</si>
  <si>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</si>
  <si>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</si>
  <si>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</si>
  <si>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</si>
  <si>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</si>
  <si>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</si>
  <si>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</si>
  <si>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</si>
  <si>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</si>
  <si>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</si>
  <si>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</si>
  <si>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</si>
  <si>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</si>
  <si>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</si>
  <si>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</si>
  <si>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</si>
  <si>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</si>
  <si>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</si>
  <si>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</si>
  <si>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</si>
  <si>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</si>
  <si>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</si>
  <si>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</si>
  <si>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</si>
  <si>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</si>
  <si>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</si>
  <si>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</si>
  <si>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</si>
  <si>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</si>
  <si>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</si>
  <si>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</si>
  <si>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</si>
  <si>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</si>
  <si>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</si>
  <si>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</si>
  <si>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</si>
  <si>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</si>
  <si>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</si>
  <si>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</si>
  <si>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</si>
  <si>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</si>
  <si>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</si>
  <si>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</si>
  <si>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</si>
  <si>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</si>
  <si>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</si>
  <si>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</si>
  <si>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</si>
  <si>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</si>
  <si>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</si>
  <si>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</si>
  <si>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</si>
  <si>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</si>
  <si>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</si>
  <si>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</si>
  <si>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</si>
  <si>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</si>
  <si>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</si>
  <si>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</si>
  <si>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</si>
  <si>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</si>
  <si>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</si>
  <si>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</si>
  <si>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</si>
  <si>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</si>
  <si>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</si>
  <si>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</si>
  <si>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</si>
  <si>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</si>
  <si>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</si>
  <si>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</si>
  <si>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</si>
  <si>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</si>
  <si>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</si>
  <si>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</si>
  <si>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</si>
  <si>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</si>
  <si>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</si>
  <si>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</si>
  <si>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</si>
  <si>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</si>
  <si>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</si>
  <si>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</si>
  <si>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</si>
  <si>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</si>
  <si>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</si>
  <si>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</si>
  <si>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</si>
  <si>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</si>
  <si>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</si>
  <si>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</si>
  <si>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</si>
  <si>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</si>
  <si>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</si>
  <si>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</si>
  <si>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</si>
  <si>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</si>
  <si>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</si>
  <si>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</si>
  <si>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</si>
  <si>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</si>
  <si>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</si>
  <si>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</si>
  <si>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</si>
  <si>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</si>
  <si>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</si>
  <si>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</si>
  <si>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</si>
  <si>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</si>
  <si>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</si>
  <si>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</si>
  <si>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</si>
  <si>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</si>
  <si>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</si>
  <si>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</si>
  <si>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</si>
  <si>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</si>
  <si>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</si>
  <si>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</si>
  <si>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</si>
  <si>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</si>
  <si>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</si>
  <si>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</si>
  <si>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</si>
  <si>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</si>
  <si>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</si>
  <si>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</si>
  <si>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</si>
  <si>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</si>
  <si>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</si>
  <si>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</si>
  <si>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</si>
  <si>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</si>
  <si>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</si>
  <si>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</si>
  <si>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</si>
  <si>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</si>
  <si>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</si>
  <si>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</si>
  <si>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</si>
  <si>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</si>
  <si>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</si>
  <si>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</si>
  <si>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</si>
  <si>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</si>
  <si>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</si>
  <si>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</si>
  <si>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</si>
  <si>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</si>
  <si>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</si>
  <si>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</si>
  <si>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</si>
  <si>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</si>
  <si>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</si>
  <si>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</si>
  <si>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</si>
  <si>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</si>
  <si>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</si>
  <si>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</si>
  <si>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</si>
  <si>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</si>
  <si>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</si>
  <si>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</si>
  <si>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</si>
  <si>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</si>
  <si>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</si>
  <si>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</si>
  <si>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</si>
  <si>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</si>
  <si>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</si>
  <si>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</si>
  <si>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</si>
  <si>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</si>
  <si>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</si>
  <si>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</si>
  <si>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</si>
  <si>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</si>
  <si>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</si>
  <si>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</si>
  <si>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</si>
  <si>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</si>
  <si>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</si>
  <si>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</si>
  <si>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</si>
  <si>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</si>
  <si>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</si>
  <si>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</si>
  <si>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</si>
  <si>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</si>
  <si>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</si>
  <si>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</si>
  <si>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</si>
  <si>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</si>
  <si>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</si>
  <si>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</si>
  <si>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</si>
  <si>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</si>
  <si>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</si>
  <si>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</si>
  <si>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</si>
  <si>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</si>
  <si>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</si>
  <si>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</si>
  <si>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</si>
  <si>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</si>
  <si>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</si>
  <si>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</si>
  <si>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</si>
  <si>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</si>
  <si>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</si>
  <si>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</si>
  <si>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</si>
  <si>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</si>
  <si>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</si>
  <si>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</si>
  <si>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</si>
  <si>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</si>
  <si>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</si>
  <si>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</si>
  <si>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</si>
  <si>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</si>
  <si>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</si>
  <si>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</si>
  <si>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</si>
  <si>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</si>
  <si>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</si>
  <si>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</si>
  <si>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</si>
  <si>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</si>
  <si>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</si>
  <si>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</si>
  <si>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</si>
  <si>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</si>
  <si>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</si>
  <si>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</si>
  <si>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</si>
  <si>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</si>
  <si>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</si>
  <si>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</si>
  <si>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</si>
  <si>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</si>
  <si>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</si>
  <si>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</si>
  <si>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</si>
  <si>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</si>
  <si>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</si>
  <si>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</si>
  <si>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</si>
  <si>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</si>
  <si>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</si>
  <si>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</si>
  <si>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</si>
  <si>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</si>
  <si>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</si>
  <si>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</si>
  <si>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</si>
  <si>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</si>
  <si>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</si>
  <si>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</si>
  <si>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</si>
  <si>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</si>
  <si>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</si>
  <si>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</si>
  <si>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</si>
  <si>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</si>
  <si>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</si>
  <si>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</si>
  <si>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</si>
  <si>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</si>
  <si>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</si>
  <si>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</si>
  <si>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</si>
  <si>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</si>
  <si>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</si>
  <si>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</si>
  <si>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</si>
  <si>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</si>
  <si>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</si>
  <si>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</si>
  <si>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</si>
  <si>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</si>
  <si>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</si>
  <si>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</si>
  <si>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</si>
  <si>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</si>
  <si>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</si>
  <si>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</si>
  <si>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</si>
  <si>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</si>
  <si>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</si>
  <si>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</si>
  <si>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</si>
  <si>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</si>
  <si>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</si>
  <si>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</si>
  <si>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</si>
  <si>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</si>
  <si>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</si>
  <si>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</si>
  <si>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</si>
  <si>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</si>
  <si>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</si>
  <si>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</si>
  <si>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</si>
  <si>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</si>
  <si>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</si>
  <si>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</si>
  <si>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</si>
  <si>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</si>
  <si>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</si>
  <si>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</si>
  <si>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</si>
  <si>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</si>
  <si>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</si>
  <si>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</si>
  <si>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</si>
  <si>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</si>
  <si>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</si>
  <si>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</si>
  <si>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</si>
  <si>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</si>
  <si>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</si>
  <si>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</si>
  <si>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</si>
  <si>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</si>
  <si>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</si>
  <si>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</si>
  <si>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</si>
  <si>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</si>
  <si>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</si>
  <si>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</si>
  <si>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</si>
  <si>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</si>
  <si>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</si>
  <si>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</si>
  <si>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</si>
  <si>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</si>
  <si>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</si>
  <si>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</si>
  <si>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</si>
  <si>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</si>
  <si>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</si>
  <si>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</si>
  <si>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</si>
  <si>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</si>
  <si>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</si>
  <si>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</si>
  <si>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</si>
  <si>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</si>
  <si>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</si>
  <si>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</si>
  <si>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</si>
  <si>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</si>
  <si>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</si>
  <si>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</si>
  <si>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</si>
  <si>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</si>
  <si>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</si>
  <si>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</si>
  <si>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</si>
  <si>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</si>
  <si>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</si>
  <si>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</si>
  <si>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</si>
  <si>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</si>
  <si>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</si>
  <si>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</si>
  <si>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</si>
  <si>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</si>
  <si>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</si>
  <si>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</si>
  <si>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</si>
  <si>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</si>
  <si>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</si>
  <si>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</si>
  <si>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</si>
  <si>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</si>
  <si>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</si>
  <si>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</si>
  <si>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</si>
  <si>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</si>
  <si>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</si>
  <si>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</si>
  <si>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</si>
  <si>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</si>
  <si>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</si>
  <si>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</si>
  <si>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</si>
  <si>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</si>
  <si>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</si>
  <si>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</si>
  <si>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</si>
  <si>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</si>
  <si>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</si>
  <si>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</si>
  <si>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</si>
  <si>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</si>
  <si>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</si>
  <si>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</si>
  <si>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</si>
  <si>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</si>
  <si>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</si>
  <si>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</si>
  <si>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</si>
  <si>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</si>
  <si>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</si>
  <si>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</si>
  <si>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</si>
  <si>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</si>
  <si>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</si>
  <si>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</si>
  <si>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</si>
  <si>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</si>
  <si>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</si>
  <si>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</si>
  <si>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</si>
  <si>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</si>
  <si>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</si>
  <si>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</si>
  <si>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</si>
  <si>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</si>
  <si>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</si>
  <si>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</si>
  <si>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</si>
  <si>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</si>
  <si>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</si>
  <si>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</si>
  <si>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</si>
  <si>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</si>
  <si>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</si>
  <si>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</si>
  <si>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</si>
  <si>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</si>
  <si>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</si>
  <si>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</si>
  <si>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</si>
  <si>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</si>
  <si>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</si>
  <si>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</si>
  <si>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</si>
  <si>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</si>
  <si>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</si>
  <si>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</si>
  <si>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</si>
  <si>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</si>
  <si>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</si>
  <si>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</si>
  <si>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</si>
  <si>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</si>
  <si>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</si>
  <si>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</si>
  <si>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</si>
  <si>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</si>
  <si>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</si>
  <si>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</si>
  <si>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</si>
  <si>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</si>
  <si>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</si>
  <si>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</si>
  <si>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</si>
  <si>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</si>
  <si>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</si>
  <si>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</si>
  <si>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</si>
  <si>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</si>
  <si>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</si>
  <si>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</si>
  <si>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</si>
  <si>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</si>
  <si>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</si>
  <si>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</si>
  <si>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</si>
  <si>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</si>
  <si>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</si>
  <si>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</si>
  <si>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</si>
  <si>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</si>
  <si>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</si>
  <si>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</si>
  <si>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</si>
  <si>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</si>
  <si>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</si>
  <si>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</si>
  <si>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</si>
  <si>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</si>
  <si>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</si>
  <si>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</si>
  <si>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</si>
  <si>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</si>
  <si>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</si>
  <si>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</si>
  <si>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</si>
  <si>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</si>
  <si>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</si>
  <si>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</si>
  <si>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</si>
  <si>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</si>
  <si>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</si>
  <si>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</si>
  <si>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</si>
  <si>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</si>
  <si>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</si>
  <si>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</si>
  <si>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</si>
  <si>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</si>
  <si>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</si>
  <si>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</si>
  <si>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</si>
  <si>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</si>
  <si>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</si>
  <si>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</si>
  <si>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</si>
  <si>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</si>
  <si>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</si>
  <si>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</si>
  <si>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</si>
  <si>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</si>
  <si>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</si>
  <si>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</si>
  <si>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</si>
  <si>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</si>
  <si>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</si>
  <si>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</si>
  <si>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</si>
  <si>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</si>
  <si>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</si>
  <si>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</si>
  <si>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</si>
  <si>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</si>
  <si>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</si>
  <si>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</si>
  <si>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</si>
  <si>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</si>
  <si>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</si>
  <si>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</si>
  <si>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</si>
  <si>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</si>
  <si>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</si>
  <si>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</si>
  <si>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</si>
  <si>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</si>
  <si>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</si>
  <si>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</si>
  <si>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</si>
  <si>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</si>
  <si>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</si>
  <si>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</si>
  <si>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</si>
  <si>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</si>
  <si>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</si>
  <si>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</si>
  <si>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</si>
  <si>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</si>
  <si>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</si>
  <si>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</si>
  <si>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</si>
  <si>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</si>
  <si>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</si>
  <si>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</si>
  <si>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</si>
  <si>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</si>
  <si>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</si>
  <si>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</si>
  <si>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</si>
  <si>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</si>
  <si>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</si>
  <si>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</si>
  <si>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</si>
  <si>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</si>
  <si>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</si>
  <si>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</si>
  <si>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</si>
  <si>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</si>
  <si>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</si>
  <si>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</si>
  <si>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</si>
  <si>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</si>
  <si>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</si>
  <si>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</si>
  <si>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</si>
  <si>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</si>
  <si>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</si>
  <si>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</si>
  <si>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</si>
  <si>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</si>
  <si>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</si>
  <si>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</si>
  <si>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</si>
  <si>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</si>
  <si>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</si>
  <si>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</si>
  <si>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</si>
  <si>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</si>
  <si>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</si>
  <si>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</si>
  <si>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</si>
  <si>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</si>
  <si>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</si>
  <si>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</si>
  <si>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</si>
  <si>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</si>
  <si>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</si>
  <si>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</si>
  <si>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</si>
  <si>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</si>
  <si>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</si>
  <si>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</si>
  <si>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</si>
  <si>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</si>
  <si>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</si>
  <si>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</si>
  <si>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</si>
  <si>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</si>
  <si>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</si>
  <si>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</si>
  <si>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</si>
  <si>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</si>
  <si>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</si>
  <si>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</si>
  <si>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</si>
  <si>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</si>
  <si>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</si>
  <si>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</si>
  <si>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</si>
  <si>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</si>
  <si>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</si>
  <si>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</si>
  <si>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</si>
  <si>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</si>
  <si>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</si>
  <si>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</si>
  <si>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</si>
  <si>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</si>
  <si>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</si>
  <si>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</si>
  <si>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</si>
  <si>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</si>
  <si>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</si>
  <si>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</si>
  <si>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</si>
  <si>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</si>
  <si>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</si>
  <si>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</si>
  <si>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</si>
  <si>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</si>
  <si>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</si>
  <si>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</si>
  <si>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</si>
  <si>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</si>
  <si>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</si>
  <si>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</si>
  <si>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</si>
  <si>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</si>
  <si>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</si>
  <si>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</si>
  <si>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</si>
  <si>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</si>
  <si>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</si>
  <si>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</si>
  <si>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</si>
  <si>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</si>
  <si>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</si>
  <si>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</si>
  <si>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</si>
  <si>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</si>
  <si>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</si>
  <si>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</si>
  <si>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</si>
  <si>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</si>
  <si>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</si>
  <si>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</si>
  <si>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</si>
  <si>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</si>
  <si>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</si>
  <si>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</si>
  <si>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</si>
  <si>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</si>
  <si>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</si>
  <si>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</si>
  <si>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</si>
  <si>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</si>
  <si>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</si>
  <si>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</si>
  <si>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</si>
  <si>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</si>
  <si>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</si>
  <si>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</si>
  <si>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</si>
  <si>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</si>
  <si>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</si>
  <si>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</si>
  <si>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</si>
  <si>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</si>
  <si>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</si>
  <si>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</si>
  <si>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</si>
  <si>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</si>
  <si>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</si>
  <si>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</si>
  <si>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</si>
  <si>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</si>
  <si>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</si>
  <si>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</si>
  <si>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</si>
  <si>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</si>
  <si>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</si>
  <si>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</si>
  <si>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</si>
  <si>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</si>
  <si>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</si>
  <si>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</si>
  <si>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</si>
  <si>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</si>
  <si>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</si>
  <si>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</si>
  <si>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</si>
  <si>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</si>
  <si>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</si>
  <si>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</si>
  <si>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</si>
  <si>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</si>
  <si>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</si>
  <si>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</si>
  <si>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</si>
  <si>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</si>
  <si>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</si>
  <si>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</si>
  <si>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</si>
  <si>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</si>
  <si>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</si>
  <si>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</si>
  <si>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</si>
  <si>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</si>
  <si>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</si>
  <si>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</si>
  <si>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</si>
  <si>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</si>
  <si>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</si>
  <si>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</si>
  <si>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</si>
  <si>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</si>
  <si>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</si>
  <si>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</si>
  <si>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</si>
  <si>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</si>
  <si>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</si>
  <si>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</si>
  <si>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</si>
  <si>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</si>
  <si>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</si>
  <si>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</si>
  <si>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</si>
  <si>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</si>
  <si>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</si>
  <si>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</si>
  <si>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</si>
  <si>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</si>
  <si>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</si>
  <si>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</si>
  <si>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</si>
  <si>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</si>
  <si>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</si>
  <si>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</si>
  <si>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</si>
  <si>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</si>
  <si>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</si>
  <si>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</si>
  <si>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</si>
  <si>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</si>
  <si>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</si>
  <si>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</si>
  <si>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</si>
  <si>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</si>
  <si>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</si>
  <si>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</si>
  <si>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</si>
  <si>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</si>
  <si>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</si>
  <si>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</si>
  <si>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</si>
  <si>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</si>
  <si>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</si>
  <si>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</si>
  <si>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</si>
  <si>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</si>
  <si>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</si>
  <si>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</si>
  <si>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</si>
  <si>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</si>
  <si>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</si>
  <si>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</si>
  <si>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</si>
  <si>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</si>
  <si>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</si>
  <si>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</si>
  <si>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</si>
  <si>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</si>
  <si>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</si>
  <si>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</si>
  <si>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</si>
  <si>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</si>
  <si>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</si>
  <si>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</si>
  <si>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</si>
  <si>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</si>
  <si>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</si>
  <si>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</si>
  <si>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</si>
  <si>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</si>
  <si>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</si>
  <si>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</si>
  <si>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</si>
  <si>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</si>
  <si>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</si>
  <si>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</si>
  <si>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</si>
  <si>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</si>
  <si>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</si>
  <si>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</si>
  <si>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</si>
  <si>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</si>
  <si>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</si>
  <si>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</si>
  <si>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</si>
  <si>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</si>
  <si>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</si>
  <si>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</si>
  <si>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</si>
  <si>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</si>
  <si>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</si>
  <si>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</si>
  <si>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</si>
  <si>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</si>
  <si>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</si>
  <si>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</si>
  <si>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</si>
  <si>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</si>
  <si>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</si>
  <si>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</si>
  <si>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</si>
  <si>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</si>
  <si>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</si>
  <si>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</si>
  <si>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</si>
  <si>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</si>
  <si>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</si>
  <si>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</si>
  <si>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</si>
  <si>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</si>
  <si>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</si>
  <si>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</si>
  <si>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</si>
  <si>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</si>
  <si>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</si>
  <si>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</si>
  <si>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</si>
  <si>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</si>
  <si>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</si>
  <si>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</si>
  <si>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</si>
  <si>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</si>
  <si>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</si>
  <si>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</si>
  <si>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</si>
  <si>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</si>
  <si>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</si>
  <si>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</si>
  <si>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</si>
  <si>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</si>
  <si>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</si>
  <si>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</si>
  <si>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</si>
  <si>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</si>
  <si>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</si>
  <si>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</si>
  <si>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</si>
  <si>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</si>
  <si>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</si>
  <si>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</si>
  <si>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</si>
  <si>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</si>
  <si>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</si>
  <si>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</si>
  <si>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</si>
  <si>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</si>
  <si>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</si>
  <si>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</si>
  <si>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</si>
  <si>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</si>
  <si>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</si>
  <si>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</si>
  <si>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</si>
  <si>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</si>
  <si>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</si>
  <si>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</si>
  <si>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</si>
  <si>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</si>
  <si>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</si>
  <si>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</si>
  <si>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</si>
  <si>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</si>
  <si>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</si>
  <si>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</si>
  <si>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</si>
  <si>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</si>
  <si>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</si>
  <si>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</si>
  <si>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</si>
  <si>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</si>
  <si>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</si>
  <si>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</si>
  <si>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</si>
  <si>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</si>
  <si>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</si>
  <si>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</si>
  <si>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</si>
  <si>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</si>
  <si>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</si>
  <si>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</si>
  <si>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</si>
  <si>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</si>
  <si>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</si>
  <si>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</si>
  <si>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</si>
  <si>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</si>
  <si>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</si>
  <si>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</si>
  <si>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</si>
  <si>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</si>
  <si>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</si>
  <si>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</si>
  <si>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</si>
  <si>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</si>
  <si>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</si>
  <si>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</si>
  <si>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</si>
  <si>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</si>
  <si>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</si>
  <si>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</si>
  <si>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</si>
  <si>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</si>
  <si>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</si>
  <si>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</si>
  <si>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</si>
  <si>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</si>
  <si>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</si>
  <si>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</si>
  <si>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</si>
  <si>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</si>
  <si>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</si>
  <si>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</si>
  <si>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</si>
  <si>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</si>
  <si>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</si>
  <si>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</si>
  <si>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</si>
  <si>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</si>
  <si>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</si>
  <si>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</si>
  <si>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</si>
  <si>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</si>
  <si>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</si>
  <si>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</si>
  <si>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</si>
  <si>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</si>
  <si>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</si>
  <si>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</si>
  <si>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</si>
  <si>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</si>
  <si>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</si>
  <si>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</si>
  <si>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</si>
  <si>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</si>
  <si>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</si>
  <si>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</si>
  <si>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</si>
  <si>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</si>
  <si>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</si>
  <si>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</si>
  <si>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</si>
  <si>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</si>
  <si>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</si>
  <si>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</si>
  <si>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</si>
  <si>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</si>
  <si>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</si>
  <si>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</si>
  <si>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</si>
  <si>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</si>
  <si>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</si>
  <si>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</si>
  <si>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</si>
  <si>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</si>
  <si>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</si>
  <si>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</si>
  <si>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</si>
  <si>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</si>
  <si>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</si>
  <si>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</si>
  <si>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</si>
  <si>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</si>
  <si>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</si>
  <si>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</si>
  <si>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</si>
  <si>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</si>
  <si>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</si>
  <si>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</si>
  <si>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</si>
  <si>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</si>
  <si>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</si>
  <si>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</si>
  <si>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</si>
  <si>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</si>
  <si>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</si>
  <si>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</si>
  <si>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</si>
  <si>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</si>
  <si>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</si>
  <si>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</si>
  <si>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</si>
  <si>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</si>
  <si>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</si>
  <si>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</si>
  <si>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</si>
  <si>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</si>
  <si>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</si>
  <si>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</si>
  <si>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</si>
  <si>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</si>
  <si>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</si>
  <si>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</si>
  <si>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</si>
  <si>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</si>
  <si>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</si>
  <si>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</si>
  <si>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</si>
  <si>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</si>
  <si>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</si>
  <si>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</si>
  <si>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</si>
  <si>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</si>
  <si>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</si>
  <si>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</si>
  <si>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</si>
  <si>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</si>
  <si>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</si>
  <si>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</si>
  <si>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</si>
  <si>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</si>
  <si>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</si>
  <si>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</si>
  <si>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</si>
  <si>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</si>
  <si>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</si>
  <si>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</si>
  <si>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</si>
  <si>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</si>
  <si>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</si>
  <si>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</si>
  <si>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</si>
  <si>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</si>
  <si>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</si>
  <si>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</si>
  <si>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</si>
  <si>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</si>
  <si>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</si>
  <si>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</si>
  <si>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</si>
  <si>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</si>
  <si>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</si>
  <si>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</si>
  <si>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</si>
  <si>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</si>
  <si>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</si>
  <si>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</si>
  <si>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</si>
  <si>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</si>
  <si>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</si>
  <si>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</si>
  <si>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</si>
  <si>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</si>
  <si>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</si>
  <si>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</si>
  <si>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</si>
  <si>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</si>
  <si>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</si>
  <si>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</si>
  <si>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</si>
  <si>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</si>
  <si>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</si>
  <si>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</si>
  <si>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</si>
  <si>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</si>
  <si>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</si>
  <si>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</si>
  <si>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</si>
  <si>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</si>
  <si>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</si>
  <si>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</si>
  <si>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</si>
  <si>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</si>
  <si>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</si>
  <si>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</si>
  <si>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</si>
  <si>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</si>
  <si>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</si>
  <si>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</si>
  <si>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</si>
  <si>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</si>
  <si>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</si>
  <si>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</si>
  <si>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</si>
  <si>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</si>
  <si>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</si>
  <si>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</si>
  <si>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</si>
  <si>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</si>
  <si>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</si>
  <si>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</si>
  <si>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</si>
  <si>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</si>
  <si>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</si>
  <si>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</si>
  <si>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</si>
  <si>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</si>
  <si>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</si>
  <si>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</si>
  <si>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</si>
  <si>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</si>
  <si>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</si>
  <si>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</si>
  <si>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</si>
  <si>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</si>
  <si>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</si>
  <si>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</si>
  <si>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</si>
  <si>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</si>
  <si>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</si>
  <si>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</si>
  <si>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</si>
  <si>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</si>
  <si>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</si>
  <si>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</si>
  <si>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</si>
  <si>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</si>
  <si>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</si>
  <si>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</si>
  <si>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</si>
  <si>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</si>
  <si>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</si>
  <si>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</si>
  <si>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</si>
  <si>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</si>
  <si>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</si>
  <si>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</si>
  <si>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</si>
  <si>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</si>
  <si>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</si>
  <si>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</si>
  <si>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</si>
  <si>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</si>
  <si>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</si>
  <si>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</si>
  <si>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</si>
  <si>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</si>
  <si>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</si>
  <si>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</si>
  <si>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</si>
  <si>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</si>
  <si>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</si>
  <si>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</si>
  <si>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</si>
  <si>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</si>
  <si>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</si>
  <si>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</si>
  <si>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</si>
  <si>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</si>
  <si>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</si>
  <si>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</si>
  <si>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</si>
  <si>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</si>
  <si>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</si>
  <si>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</si>
  <si>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</si>
  <si>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</si>
  <si>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</si>
  <si>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</si>
  <si>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</si>
  <si>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</si>
  <si>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</si>
  <si>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</si>
  <si>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</si>
  <si>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</si>
  <si>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</si>
  <si>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</si>
  <si>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</si>
  <si>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</si>
  <si>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</si>
  <si>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</si>
  <si>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</si>
  <si>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</si>
  <si>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</si>
  <si>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</si>
  <si>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</si>
  <si>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</si>
  <si>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</si>
  <si>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</si>
  <si>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</si>
  <si>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</si>
  <si>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</si>
  <si>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</si>
  <si>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</si>
  <si>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</si>
  <si>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</si>
  <si>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</si>
  <si>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</si>
  <si>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</si>
  <si>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</si>
  <si>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</si>
  <si>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</si>
  <si>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</si>
  <si>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</si>
  <si>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</si>
  <si>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</si>
  <si>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</si>
  <si>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</si>
  <si>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</si>
  <si>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</si>
  <si>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</si>
  <si>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</si>
  <si>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</si>
  <si>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</si>
  <si>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</si>
  <si>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</si>
  <si>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</si>
  <si>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</si>
  <si>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</si>
  <si>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</si>
  <si>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</si>
  <si>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</si>
  <si>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</si>
  <si>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</si>
  <si>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</si>
  <si>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</si>
  <si>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</si>
  <si>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</si>
  <si>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</si>
  <si>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</si>
  <si>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</si>
  <si>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</si>
  <si>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</si>
  <si>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</si>
  <si>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</si>
  <si>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</si>
  <si>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</si>
  <si>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</si>
  <si>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</si>
  <si>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</si>
  <si>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</si>
  <si>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</si>
  <si>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</si>
  <si>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</si>
  <si>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</si>
  <si>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</si>
  <si>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</si>
  <si>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</si>
  <si>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</si>
  <si>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</si>
  <si>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</si>
  <si>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</si>
  <si>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</si>
  <si>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</si>
  <si>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</si>
  <si>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</si>
  <si>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</si>
  <si>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</si>
  <si>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</si>
  <si>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</si>
  <si>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</si>
  <si>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</si>
  <si>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</si>
  <si>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</si>
  <si>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</si>
  <si>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</si>
  <si>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</si>
  <si>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</si>
  <si>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</si>
  <si>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</si>
  <si>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</si>
  <si>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</si>
  <si>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</si>
  <si>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</si>
  <si>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</si>
  <si>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</si>
  <si>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</si>
  <si>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</si>
  <si>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</si>
  <si>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</si>
  <si>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</si>
  <si>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</si>
  <si>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</si>
  <si>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</si>
  <si>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</si>
  <si>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</si>
  <si>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</si>
  <si>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</si>
  <si>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</si>
  <si>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</si>
  <si>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</si>
  <si>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</si>
  <si>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</si>
  <si>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</si>
  <si>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</si>
  <si>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</si>
  <si>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</si>
  <si>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</si>
  <si>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</si>
  <si>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</si>
  <si>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</si>
  <si>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</si>
  <si>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</si>
  <si>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</si>
  <si>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</si>
  <si>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</si>
  <si>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</si>
  <si>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</si>
  <si>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</si>
  <si>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</si>
  <si>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</si>
  <si>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</si>
  <si>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</si>
  <si>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</si>
  <si>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</si>
  <si>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</si>
  <si>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</si>
  <si>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</si>
  <si>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</si>
  <si>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</si>
  <si>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</si>
  <si>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</si>
  <si>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</si>
  <si>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</si>
  <si>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</si>
  <si>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</si>
  <si>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</si>
  <si>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</si>
  <si>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</si>
  <si>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</si>
  <si>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</si>
  <si>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</si>
  <si>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</si>
  <si>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</si>
  <si>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</si>
  <si>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</si>
  <si>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</si>
  <si>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</si>
  <si>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</si>
  <si>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</si>
  <si>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</si>
  <si>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</si>
  <si>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</si>
  <si>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</si>
  <si>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</si>
  <si>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</si>
  <si>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</si>
  <si>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</si>
  <si>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</si>
  <si>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</si>
  <si>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</si>
  <si>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</si>
  <si>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</si>
  <si>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</si>
  <si>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</si>
  <si>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</si>
  <si>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</si>
  <si>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</si>
  <si>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</si>
  <si>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</si>
  <si>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</si>
  <si>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</si>
  <si>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</si>
  <si>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</si>
  <si>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</si>
  <si>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</si>
  <si>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</si>
  <si>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</si>
  <si>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</si>
  <si>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</si>
  <si>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</si>
  <si>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</si>
  <si>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</si>
  <si>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</si>
  <si>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</si>
  <si>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</si>
  <si>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</si>
  <si>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</si>
  <si>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</si>
  <si>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</si>
  <si>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</si>
  <si>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</si>
  <si>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</si>
  <si>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</si>
  <si>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</si>
  <si>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</si>
  <si>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</si>
  <si>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</si>
  <si>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</si>
  <si>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</si>
  <si>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</si>
  <si>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</si>
  <si>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</si>
  <si>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</si>
  <si>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</si>
  <si>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</si>
  <si>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</si>
  <si>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</si>
  <si>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</si>
  <si>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</si>
  <si>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</si>
  <si>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</si>
  <si>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</si>
  <si>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</si>
  <si>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</si>
  <si>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</si>
  <si>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</si>
  <si>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</si>
  <si>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</si>
  <si>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</si>
  <si>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</si>
  <si>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</si>
  <si>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</si>
  <si>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</si>
  <si>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</si>
  <si>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</si>
  <si>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</si>
  <si>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</si>
  <si>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</si>
  <si>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</si>
  <si>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</si>
  <si>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</si>
  <si>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</si>
  <si>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</si>
  <si>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</si>
  <si>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</si>
  <si>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</si>
  <si>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</si>
  <si>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</si>
  <si>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</si>
  <si>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</si>
  <si>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</si>
  <si>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</si>
  <si>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</si>
  <si>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</si>
  <si>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</si>
  <si>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</si>
  <si>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</si>
  <si>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</si>
  <si>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</si>
  <si>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</si>
  <si>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</si>
  <si>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</si>
  <si>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</si>
  <si>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</si>
  <si>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</si>
  <si>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</si>
  <si>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</si>
  <si>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</si>
  <si>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</si>
  <si>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</si>
  <si>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</si>
  <si>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</si>
  <si>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</si>
  <si>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</si>
  <si>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</si>
  <si>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</si>
  <si>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</si>
  <si>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</si>
  <si>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</si>
  <si>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</si>
  <si>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</si>
  <si>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</si>
  <si>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</si>
  <si>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</si>
  <si>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</si>
  <si>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</si>
  <si>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</si>
  <si>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</si>
  <si>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</si>
  <si>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</si>
  <si>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</si>
  <si>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</si>
  <si>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</si>
  <si>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</si>
  <si>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</si>
  <si>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</si>
  <si>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</si>
  <si>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</si>
  <si>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</si>
  <si>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</si>
  <si>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</si>
  <si>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</si>
  <si>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</si>
  <si>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</si>
  <si>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</si>
  <si>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</si>
  <si>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</si>
  <si>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</si>
  <si>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</si>
  <si>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</si>
  <si>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</si>
  <si>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</si>
  <si>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</si>
  <si>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</si>
  <si>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</si>
  <si>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</si>
  <si>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</si>
  <si>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</si>
  <si>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</si>
  <si>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</si>
  <si>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</si>
  <si>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</si>
  <si>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</si>
  <si>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</si>
  <si>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</si>
  <si>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</si>
  <si>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</si>
  <si>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</si>
  <si>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</si>
  <si>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</si>
  <si>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</si>
  <si>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</si>
  <si>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</si>
  <si>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</si>
  <si>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</si>
  <si>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</si>
  <si>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</si>
  <si>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</si>
  <si>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</si>
  <si>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</si>
  <si>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</si>
  <si>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</si>
  <si>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</si>
  <si>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</si>
  <si>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</si>
  <si>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</si>
  <si>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</si>
  <si>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</si>
  <si>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</si>
  <si>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</si>
  <si>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</si>
  <si>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</si>
  <si>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</si>
  <si>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</si>
  <si>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</si>
  <si>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</si>
  <si>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</si>
  <si>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</si>
  <si>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</si>
  <si>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</si>
  <si>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</si>
  <si>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</si>
  <si>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</si>
  <si>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</si>
  <si>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</si>
  <si>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</si>
  <si>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</si>
  <si>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</si>
  <si>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</si>
  <si>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</si>
  <si>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</si>
  <si>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</si>
  <si>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</si>
  <si>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</si>
  <si>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</si>
  <si>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</si>
  <si>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</si>
  <si>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</si>
  <si>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</si>
  <si>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</si>
  <si>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</si>
  <si>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</si>
  <si>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</si>
  <si>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</si>
  <si>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</si>
  <si>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</si>
  <si>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</si>
  <si>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</si>
  <si>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</si>
  <si>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</si>
  <si>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</si>
  <si>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</si>
  <si>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</si>
  <si>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</si>
  <si>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</si>
  <si>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</si>
  <si>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</si>
  <si>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</si>
  <si>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</si>
  <si>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</si>
  <si>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</si>
  <si>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</si>
  <si>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</si>
  <si>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</si>
  <si>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</si>
  <si>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</si>
  <si>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</si>
  <si>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</si>
  <si>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</si>
  <si>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</si>
  <si>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</si>
  <si>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</si>
  <si>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</si>
  <si>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</si>
  <si>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</si>
  <si>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</si>
  <si>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</si>
  <si>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</si>
  <si>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</si>
  <si>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</si>
  <si>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</si>
  <si>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</si>
  <si>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</si>
  <si>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</si>
  <si>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</si>
  <si>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</si>
  <si>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</si>
  <si>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</si>
  <si>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</si>
  <si>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</si>
  <si>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</si>
  <si>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</si>
  <si>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</si>
  <si>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</si>
  <si>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</si>
  <si>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</si>
  <si>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</si>
  <si>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</si>
  <si>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</si>
  <si>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</si>
  <si>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</si>
  <si>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</si>
  <si>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</si>
  <si>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</si>
  <si>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</si>
  <si>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</si>
  <si>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</si>
  <si>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</si>
  <si>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</si>
  <si>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</si>
  <si>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</si>
  <si>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</si>
  <si>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</si>
  <si>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</si>
  <si>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</si>
  <si>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</si>
  <si>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</si>
  <si>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</si>
  <si>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</si>
  <si>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</si>
  <si>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</si>
  <si>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</si>
  <si>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</si>
  <si>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</si>
  <si>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</si>
  <si>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</si>
  <si>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</si>
  <si>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</si>
  <si>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</si>
  <si>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</si>
  <si>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</si>
  <si>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</si>
  <si>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</si>
  <si>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</si>
  <si>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</si>
  <si>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</si>
  <si>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</si>
  <si>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</si>
  <si>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</si>
  <si>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</si>
  <si>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</si>
  <si>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</si>
  <si>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</si>
  <si>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</si>
  <si>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</si>
  <si>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</si>
  <si>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</si>
  <si>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</si>
  <si>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</si>
  <si>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</si>
  <si>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</si>
  <si>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</si>
  <si>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</si>
  <si>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</si>
  <si>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</si>
  <si>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</si>
  <si>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</si>
  <si>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</si>
  <si>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</si>
  <si>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</si>
  <si>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</si>
  <si>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</si>
  <si>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</si>
  <si>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</si>
  <si>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</si>
  <si>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</si>
  <si>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</si>
  <si>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</si>
  <si>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</si>
  <si>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</si>
  <si>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</si>
  <si>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</si>
  <si>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</si>
  <si>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</si>
  <si>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</si>
  <si>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</si>
  <si>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</si>
  <si>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</si>
  <si>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</si>
  <si>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</si>
  <si>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</si>
  <si>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</si>
  <si>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</si>
  <si>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</si>
  <si>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</si>
  <si>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</si>
  <si>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</si>
  <si>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</si>
  <si>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</si>
  <si>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</si>
  <si>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</si>
  <si>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</si>
  <si>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</si>
  <si>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</si>
  <si>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</si>
  <si>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</si>
  <si>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</si>
  <si>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</si>
  <si>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</si>
  <si>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</si>
  <si>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</si>
  <si>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</si>
  <si>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</si>
  <si>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</si>
  <si>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</si>
  <si>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</si>
  <si>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</si>
  <si>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</si>
  <si>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</si>
  <si>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</si>
  <si>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</si>
  <si>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</si>
  <si>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</si>
  <si>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</si>
  <si>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</si>
  <si>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</si>
  <si>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</si>
  <si>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</si>
  <si>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</si>
  <si>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</si>
  <si>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</si>
  <si>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</si>
  <si>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</si>
  <si>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</si>
  <si>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</si>
  <si>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</si>
  <si>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</si>
  <si>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</si>
  <si>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</si>
  <si>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</si>
  <si>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</si>
  <si>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</si>
  <si>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</si>
  <si>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</si>
  <si>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</si>
  <si>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</si>
  <si>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</si>
  <si>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</si>
  <si>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</si>
  <si>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</si>
  <si>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</si>
  <si>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</si>
  <si>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</si>
  <si>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</si>
  <si>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</si>
  <si>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</si>
  <si>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</si>
  <si>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</si>
  <si>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</si>
  <si>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</si>
  <si>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</si>
  <si>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</si>
  <si>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</si>
  <si>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</si>
  <si>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</si>
  <si>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</si>
  <si>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</si>
  <si>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</si>
  <si>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</si>
  <si>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</si>
  <si>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</si>
  <si>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</si>
  <si>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</si>
  <si>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</si>
  <si>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</si>
  <si>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</si>
  <si>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</si>
  <si>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</si>
  <si>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</si>
  <si>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</si>
  <si>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</si>
  <si>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</si>
  <si>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</si>
  <si>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</si>
  <si>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</si>
  <si>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</si>
  <si>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</si>
  <si>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</si>
  <si>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</si>
  <si>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</si>
  <si>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</si>
  <si>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</si>
  <si>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</si>
  <si>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</si>
  <si>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</si>
  <si>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</si>
  <si>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</si>
  <si>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</si>
  <si>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</si>
  <si>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</si>
  <si>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</si>
  <si>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</si>
  <si>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</si>
  <si>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</si>
  <si>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</si>
  <si>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</si>
  <si>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</si>
  <si>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</si>
  <si>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</si>
  <si>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</si>
  <si>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</si>
  <si>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</si>
  <si>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</si>
  <si>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</si>
  <si>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</si>
  <si>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</si>
  <si>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</si>
  <si>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</si>
  <si>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</si>
  <si>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</si>
  <si>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</si>
  <si>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</si>
  <si>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</si>
  <si>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</si>
  <si>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</si>
  <si>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</si>
  <si>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</si>
  <si>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</si>
  <si>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</si>
  <si>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</si>
  <si>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</si>
  <si>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</si>
  <si>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</si>
  <si>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</si>
  <si>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</si>
  <si>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</si>
  <si>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</si>
  <si>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</si>
  <si>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</si>
  <si>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</si>
  <si>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</si>
  <si>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</si>
  <si>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</si>
  <si>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</si>
  <si>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</si>
  <si>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</si>
  <si>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</si>
  <si>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</si>
  <si>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</si>
  <si>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</si>
  <si>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</si>
  <si>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</si>
  <si>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</si>
  <si>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</si>
  <si>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</si>
  <si>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</si>
  <si>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</si>
  <si>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</si>
  <si>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</si>
  <si>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</si>
  <si>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</si>
  <si>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</si>
  <si>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</si>
  <si>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</si>
  <si>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</si>
  <si>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</si>
  <si>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</si>
  <si>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</si>
  <si>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</si>
  <si>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</si>
  <si>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</si>
  <si>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</si>
  <si>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</si>
  <si>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</si>
  <si>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</si>
  <si>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</si>
  <si>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</si>
  <si>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</si>
  <si>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</si>
  <si>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</si>
  <si>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</si>
  <si>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</si>
  <si>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</si>
  <si>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</si>
  <si>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</si>
  <si>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</si>
  <si>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</si>
  <si>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</si>
  <si>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</si>
  <si>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</si>
  <si>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</si>
  <si>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</si>
  <si>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</si>
  <si>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</si>
  <si>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</si>
  <si>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</si>
  <si>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</si>
  <si>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</si>
  <si>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</si>
  <si>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</si>
  <si>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</si>
  <si>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</si>
  <si>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</si>
  <si>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</si>
  <si>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</si>
  <si>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</si>
  <si>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</si>
  <si>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</si>
  <si>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</si>
  <si>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</si>
  <si>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</si>
  <si>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</si>
  <si>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</si>
  <si>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</si>
  <si>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</si>
  <si>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</si>
  <si>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</si>
  <si>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</si>
  <si>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</si>
  <si>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</si>
  <si>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</si>
  <si>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</si>
  <si>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</si>
  <si>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</si>
  <si>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</si>
  <si>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</si>
  <si>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</si>
  <si>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</si>
  <si>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</si>
  <si>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</si>
  <si>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</si>
  <si>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</si>
  <si>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</si>
  <si>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</si>
  <si>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</si>
  <si>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</si>
  <si>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</si>
  <si>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</si>
  <si>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</si>
  <si>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</si>
  <si>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</si>
  <si>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</si>
  <si>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</si>
  <si>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</si>
  <si>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</si>
  <si>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</si>
  <si>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</si>
  <si>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</si>
  <si>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</si>
  <si>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</si>
  <si>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</si>
  <si>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</si>
  <si>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</si>
  <si>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</si>
  <si>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</si>
  <si>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</si>
  <si>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</si>
  <si>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</si>
  <si>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</si>
  <si>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</si>
  <si>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</si>
  <si>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</si>
  <si>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</si>
  <si>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</si>
  <si>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</si>
  <si>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</si>
  <si>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</si>
  <si>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</si>
  <si>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</si>
  <si>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</si>
  <si>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</si>
  <si>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</si>
  <si>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</si>
  <si>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</si>
  <si>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</si>
  <si>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</si>
  <si>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</si>
  <si>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</si>
  <si>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</si>
  <si>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</si>
  <si>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</si>
  <si>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</si>
  <si>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</si>
  <si>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</si>
  <si>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</si>
  <si>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</si>
  <si>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</si>
  <si>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</si>
  <si>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</si>
  <si>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</si>
  <si>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</si>
  <si>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</si>
  <si>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</si>
  <si>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</si>
  <si>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</si>
  <si>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</si>
  <si>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</si>
  <si>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</si>
  <si>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</si>
  <si>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</si>
  <si>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</si>
  <si>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</si>
  <si>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</si>
  <si>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</si>
  <si>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</si>
  <si>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</si>
  <si>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</si>
  <si>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</si>
  <si>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</si>
  <si>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</si>
  <si>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</si>
  <si>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</si>
  <si>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</si>
  <si>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</si>
  <si>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</si>
  <si>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</si>
  <si>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</si>
  <si>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</si>
  <si>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</si>
  <si>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</si>
  <si>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</si>
  <si>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</si>
  <si>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</si>
  <si>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</si>
  <si>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</si>
  <si>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</si>
  <si>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</si>
  <si>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</si>
  <si>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</si>
  <si>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</si>
  <si>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</si>
  <si>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</si>
  <si>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</si>
  <si>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</si>
  <si>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</si>
  <si>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</si>
  <si>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</si>
  <si>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</si>
  <si>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</si>
  <si>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</si>
  <si>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</si>
  <si>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</si>
  <si>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</si>
  <si>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</si>
  <si>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</si>
  <si>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</si>
  <si>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</si>
  <si>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</si>
  <si>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</si>
  <si>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</si>
  <si>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</si>
  <si>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</si>
  <si>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</si>
  <si>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</si>
  <si>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</si>
  <si>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</si>
  <si>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</si>
  <si>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</si>
  <si>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</si>
  <si>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</si>
  <si>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</si>
  <si>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</si>
  <si>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</si>
  <si>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</si>
  <si>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</si>
  <si>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</si>
  <si>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</si>
  <si>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</si>
  <si>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</si>
  <si>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</si>
  <si>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</si>
  <si>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</si>
  <si>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</si>
  <si>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</si>
  <si>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</si>
  <si>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</si>
  <si>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</si>
  <si>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</si>
  <si>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</si>
  <si>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</si>
  <si>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</si>
  <si>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</si>
  <si>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</si>
  <si>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</si>
  <si>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</si>
  <si>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</si>
  <si>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</si>
  <si>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</si>
  <si>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</si>
  <si>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</si>
  <si>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</si>
  <si>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</si>
  <si>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</si>
  <si>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</si>
  <si>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</si>
  <si>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</si>
  <si>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</si>
  <si>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</si>
  <si>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</si>
  <si>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</si>
  <si>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</si>
  <si>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</si>
  <si>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</si>
  <si>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</si>
  <si>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</si>
  <si>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</si>
  <si>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</si>
  <si>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</si>
  <si>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</si>
  <si>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</si>
  <si>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</si>
  <si>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</si>
  <si>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</si>
  <si>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</si>
  <si>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</si>
  <si>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</si>
  <si>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</si>
  <si>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</si>
  <si>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</si>
  <si>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</si>
  <si>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</si>
  <si>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</si>
  <si>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</si>
  <si>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</si>
  <si>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</si>
  <si>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</si>
  <si>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</si>
  <si>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</si>
  <si>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</si>
  <si>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</si>
  <si>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</si>
  <si>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</si>
  <si>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</si>
  <si>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</si>
  <si>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</si>
  <si>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</si>
  <si>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</si>
  <si>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</si>
  <si>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</si>
  <si>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</si>
  <si>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</si>
  <si>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</si>
  <si>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</si>
  <si>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</si>
  <si>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</si>
  <si>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</si>
  <si>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</si>
  <si>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</si>
  <si>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</si>
  <si>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</si>
  <si>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</si>
  <si>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</si>
  <si>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</si>
  <si>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</si>
  <si>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</si>
  <si>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</si>
  <si>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</si>
  <si>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</si>
  <si>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</si>
  <si>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</si>
  <si>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</si>
  <si>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</si>
  <si>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</si>
  <si>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</si>
  <si>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</si>
  <si>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</si>
  <si>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</si>
  <si>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</si>
  <si>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</si>
  <si>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</si>
  <si>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</si>
  <si>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</si>
  <si>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</si>
  <si>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</si>
  <si>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</si>
  <si>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</si>
  <si>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</si>
  <si>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</si>
  <si>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</si>
  <si>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</si>
  <si>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</si>
  <si>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</si>
  <si>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</si>
  <si>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</si>
  <si>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</si>
  <si>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</si>
  <si>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</si>
  <si>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</si>
  <si>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</si>
  <si>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</si>
  <si>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</si>
  <si>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</si>
  <si>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</si>
  <si>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</si>
  <si>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</si>
  <si>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</si>
  <si>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</si>
  <si>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</si>
  <si>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</si>
  <si>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</si>
  <si>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</si>
  <si>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</si>
  <si>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</si>
  <si>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</si>
  <si>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</si>
  <si>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</si>
  <si>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</si>
  <si>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</si>
  <si>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</si>
  <si>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</si>
  <si>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</si>
  <si>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</si>
  <si>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</si>
  <si>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</si>
  <si>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</si>
  <si>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</si>
  <si>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</si>
  <si>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</si>
  <si>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</si>
  <si>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</si>
  <si>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</si>
  <si>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</si>
  <si>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</si>
  <si>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</si>
  <si>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</si>
  <si>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</si>
  <si>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</si>
  <si>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</si>
  <si>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</si>
  <si>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</si>
  <si>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</si>
  <si>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</si>
  <si>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</si>
  <si>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</si>
  <si>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</si>
  <si>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</si>
  <si>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</si>
  <si>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</si>
  <si>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</si>
  <si>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</si>
  <si>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</si>
  <si>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</si>
  <si>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</si>
  <si>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</si>
  <si>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</si>
  <si>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</si>
  <si>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</si>
  <si>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</si>
  <si>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</si>
  <si>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</si>
  <si>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</si>
  <si>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</si>
  <si>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</si>
  <si>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</si>
  <si>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</si>
  <si>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</si>
  <si>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</si>
  <si>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</si>
  <si>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</si>
  <si>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</si>
  <si>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</si>
  <si>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</si>
  <si>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</si>
  <si>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</si>
  <si>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</si>
  <si>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</si>
  <si>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</si>
  <si>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</si>
  <si>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</si>
  <si>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</si>
  <si>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</si>
  <si>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</si>
  <si>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</si>
  <si>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</si>
  <si>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</si>
  <si>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</si>
  <si>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</si>
  <si>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</si>
  <si>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</si>
  <si>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</si>
  <si>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</si>
  <si>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</si>
  <si>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</si>
  <si>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</si>
  <si>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</si>
  <si>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</si>
  <si>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</si>
  <si>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</si>
  <si>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</si>
  <si>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</si>
  <si>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</si>
  <si>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</si>
  <si>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</si>
  <si>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</si>
  <si>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</si>
  <si>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</si>
  <si>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</si>
  <si>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</si>
  <si>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</si>
  <si>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</si>
  <si>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</si>
  <si>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</si>
  <si>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</si>
  <si>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</si>
  <si>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</si>
  <si>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</si>
  <si>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</si>
  <si>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</si>
  <si>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</si>
  <si>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</si>
  <si>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</si>
  <si>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</si>
  <si>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</si>
  <si>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</si>
  <si>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</si>
  <si>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</si>
  <si>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</si>
  <si>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</si>
  <si>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</si>
  <si>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</si>
  <si>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</si>
  <si>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</si>
  <si>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</si>
  <si>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</si>
  <si>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</si>
  <si>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</si>
  <si>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</si>
  <si>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</si>
  <si>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</si>
  <si>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</si>
  <si>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</si>
  <si>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</si>
  <si>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</si>
  <si>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</si>
  <si>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</si>
  <si>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</si>
  <si>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</si>
  <si>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</si>
  <si>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</si>
  <si>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</si>
  <si>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</si>
  <si>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</si>
  <si>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</si>
  <si>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</si>
  <si>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</si>
  <si>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</si>
  <si>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</si>
  <si>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</si>
  <si>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</si>
  <si>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</si>
  <si>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</si>
  <si>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</si>
  <si>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</si>
  <si>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</si>
  <si>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</si>
  <si>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</si>
  <si>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</si>
  <si>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</si>
  <si>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</si>
  <si>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</si>
  <si>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</si>
  <si>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</si>
  <si>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</si>
  <si>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</si>
  <si>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</si>
  <si>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</si>
  <si>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</si>
  <si>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</si>
  <si>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</si>
  <si>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</si>
  <si>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</si>
  <si>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</si>
  <si>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</si>
  <si>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</si>
  <si>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</si>
  <si>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</si>
  <si>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</si>
  <si>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</si>
  <si>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</si>
  <si>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</si>
  <si>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</si>
  <si>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</si>
  <si>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</si>
  <si>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</si>
  <si>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</si>
  <si>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</si>
  <si>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</si>
  <si>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</si>
  <si>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</si>
  <si>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</si>
  <si>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</si>
  <si>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</si>
  <si>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</si>
  <si>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</si>
  <si>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</si>
  <si>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</si>
  <si>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</si>
  <si>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</si>
  <si>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</si>
  <si>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</si>
  <si>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</si>
  <si>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</si>
  <si>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</si>
  <si>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</si>
  <si>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</si>
  <si>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</si>
  <si>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</si>
  <si>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</si>
  <si>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</si>
  <si>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</si>
  <si>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</si>
  <si>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</si>
  <si>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</si>
  <si>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</si>
  <si>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</si>
  <si>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</si>
  <si>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</si>
  <si>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</si>
  <si>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</si>
  <si>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</si>
  <si>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</si>
  <si>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</si>
  <si>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</si>
  <si>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</si>
  <si>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</si>
  <si>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</si>
  <si>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</si>
  <si>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</si>
  <si>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</si>
  <si>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</si>
  <si>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</si>
  <si>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</si>
  <si>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</si>
  <si>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</si>
  <si>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</si>
  <si>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</si>
  <si>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</si>
  <si>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</si>
  <si>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</si>
  <si>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</si>
  <si>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</si>
  <si>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</si>
  <si>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</si>
  <si>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</si>
  <si>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</si>
  <si>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</si>
  <si>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</si>
  <si>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</si>
  <si>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</si>
  <si>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</si>
  <si>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</si>
  <si>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</si>
  <si>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</si>
  <si>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</si>
  <si>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</si>
  <si>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</si>
  <si>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</si>
  <si>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</si>
  <si>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</si>
  <si>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</si>
  <si>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</si>
  <si>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</si>
  <si>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</si>
  <si>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</si>
  <si>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</si>
  <si>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</si>
  <si>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</si>
  <si>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</si>
  <si>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</si>
  <si>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</si>
  <si>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</si>
  <si>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</si>
  <si>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</si>
  <si>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</si>
  <si>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</si>
  <si>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</si>
  <si>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</si>
  <si>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</si>
  <si>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</si>
  <si>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</si>
  <si>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</si>
  <si>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</si>
  <si>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</si>
  <si>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</si>
  <si>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</si>
  <si>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</si>
  <si>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</si>
  <si>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</si>
  <si>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</si>
  <si>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</si>
  <si>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</si>
  <si>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</si>
  <si>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</si>
  <si>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</si>
  <si>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</si>
  <si>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</si>
  <si>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</si>
  <si>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</si>
  <si>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</si>
  <si>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</si>
  <si>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</si>
  <si>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</si>
  <si>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</si>
  <si>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</si>
  <si>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</si>
  <si>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</si>
  <si>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</si>
  <si>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</si>
  <si>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</si>
  <si>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</si>
  <si>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</si>
  <si>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</si>
  <si>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</si>
  <si>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</si>
  <si>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</si>
  <si>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</si>
  <si>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</si>
  <si>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</si>
  <si>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</si>
  <si>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</si>
  <si>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</si>
  <si>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</si>
  <si>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</si>
  <si>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</si>
  <si>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</si>
  <si>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</si>
  <si>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</si>
  <si>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</si>
  <si>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</si>
  <si>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</si>
  <si>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</si>
  <si>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</si>
  <si>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</si>
  <si>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</si>
  <si>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</si>
  <si>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</si>
  <si>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</si>
  <si>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</si>
  <si>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</si>
  <si>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</si>
  <si>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</si>
  <si>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</si>
  <si>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</si>
  <si>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</si>
  <si>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</si>
  <si>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</si>
  <si>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</si>
  <si>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</si>
  <si>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</si>
  <si>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</si>
  <si>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</si>
  <si>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</si>
  <si>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</si>
  <si>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</si>
  <si>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</si>
  <si>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</si>
  <si>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</si>
  <si>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</si>
  <si>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</si>
  <si>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</si>
  <si>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</si>
  <si>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</si>
  <si>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</si>
  <si>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</si>
  <si>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</si>
  <si>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</si>
  <si>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</si>
  <si>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</si>
  <si>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</si>
  <si>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</si>
  <si>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</si>
  <si>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</si>
  <si>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</si>
  <si>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</si>
  <si>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</si>
  <si>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</si>
  <si>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</si>
  <si>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</si>
  <si>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</si>
  <si>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</si>
  <si>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</si>
  <si>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</si>
  <si>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</si>
  <si>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</si>
  <si>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</si>
  <si>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</si>
  <si>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</si>
  <si>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</si>
  <si>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</si>
  <si>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</si>
  <si>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</si>
  <si>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</si>
  <si>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</si>
  <si>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</si>
  <si>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</si>
  <si>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</si>
  <si>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</si>
  <si>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</si>
  <si>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</si>
  <si>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</si>
  <si>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</si>
  <si>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</si>
  <si>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</si>
  <si>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</si>
  <si>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</si>
  <si>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</si>
  <si>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</si>
  <si>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</si>
  <si>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</si>
  <si>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</si>
  <si>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</si>
  <si>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</si>
  <si>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</si>
  <si>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</si>
  <si>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</si>
  <si>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</si>
  <si>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</si>
  <si>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</si>
  <si>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</si>
  <si>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</si>
  <si>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</si>
  <si>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</si>
  <si>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</si>
  <si>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</si>
  <si>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</si>
  <si>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</si>
  <si>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</si>
  <si>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</si>
  <si>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</si>
  <si>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</si>
  <si>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</si>
  <si>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</si>
  <si>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</si>
  <si>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</si>
  <si>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</si>
  <si>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</si>
  <si>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</si>
  <si>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</si>
  <si>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</si>
  <si>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</si>
  <si>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</si>
  <si>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</si>
  <si>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</si>
  <si>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</si>
  <si>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</si>
  <si>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</si>
  <si>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</si>
  <si>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</si>
  <si>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</si>
  <si>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</si>
  <si>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</si>
  <si>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</si>
  <si>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</si>
  <si>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</si>
  <si>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</si>
  <si>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</si>
  <si>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</si>
  <si>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</si>
  <si>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</si>
  <si>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</si>
  <si>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</si>
  <si>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</si>
  <si>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</si>
  <si>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</si>
  <si>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</si>
  <si>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</si>
  <si>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</si>
  <si>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</si>
  <si>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</si>
  <si>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</si>
  <si>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</si>
  <si>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</si>
  <si>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</si>
  <si>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</si>
  <si>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</si>
  <si>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</si>
  <si>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</si>
  <si>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</si>
  <si>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</si>
  <si>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</si>
  <si>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</si>
  <si>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</si>
  <si>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</si>
  <si>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</si>
  <si>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</si>
  <si>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</si>
  <si>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</si>
  <si>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</si>
  <si>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</si>
  <si>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</si>
  <si>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</si>
  <si>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</si>
  <si>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</si>
  <si>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</si>
  <si>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</si>
  <si>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</si>
  <si>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</si>
  <si>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</si>
  <si>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</si>
  <si>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</si>
  <si>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</si>
  <si>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</si>
  <si>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</si>
  <si>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</si>
  <si>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</si>
  <si>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</si>
  <si>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</si>
  <si>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</si>
  <si>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</si>
  <si>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</si>
  <si>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</si>
  <si>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</si>
  <si>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</si>
  <si>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</si>
  <si>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</si>
  <si>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</si>
  <si>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</si>
  <si>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</si>
  <si>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</si>
  <si>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</si>
  <si>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</si>
  <si>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</si>
  <si>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</si>
  <si>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</si>
  <si>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</si>
  <si>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</si>
  <si>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</si>
  <si>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</si>
  <si>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</si>
  <si>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</si>
  <si>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</si>
  <si>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</si>
  <si>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</si>
  <si>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</si>
  <si>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</si>
  <si>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</si>
  <si>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</si>
  <si>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</si>
  <si>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</si>
  <si>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</si>
  <si>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</si>
  <si>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</si>
  <si>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</si>
  <si>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</si>
  <si>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</si>
  <si>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</si>
  <si>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</si>
  <si>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</si>
  <si>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</si>
  <si>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</si>
  <si>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</si>
  <si>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</si>
  <si>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</si>
  <si>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</si>
  <si>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</si>
  <si>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</si>
  <si>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</si>
  <si>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</si>
  <si>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</si>
  <si>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</si>
  <si>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</si>
  <si>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</si>
  <si>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</si>
  <si>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</si>
  <si>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</si>
  <si>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</si>
  <si>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</si>
  <si>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</si>
  <si>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</si>
  <si>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</si>
  <si>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</si>
  <si>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</si>
  <si>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</si>
  <si>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</si>
  <si>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</si>
  <si>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</si>
  <si>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</si>
  <si>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</si>
  <si>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</si>
  <si>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</si>
  <si>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</si>
  <si>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</si>
  <si>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</si>
  <si>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</si>
  <si>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</si>
  <si>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</si>
  <si>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</si>
  <si>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</si>
  <si>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</si>
  <si>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</si>
  <si>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</si>
  <si>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</si>
  <si>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</si>
  <si>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</si>
  <si>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</si>
  <si>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</si>
  <si>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</si>
  <si>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</si>
  <si>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</si>
  <si>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</si>
  <si>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</si>
  <si>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</si>
  <si>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</si>
  <si>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</si>
  <si>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</si>
  <si>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</si>
  <si>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</si>
  <si>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</si>
  <si>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</si>
  <si>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</si>
  <si>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</si>
  <si>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</si>
  <si>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</si>
  <si>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</si>
  <si>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</si>
  <si>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</si>
  <si>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</si>
  <si>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</si>
  <si>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</si>
  <si>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</si>
  <si>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</si>
  <si>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</si>
  <si>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</si>
  <si>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</si>
  <si>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</si>
  <si>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</si>
  <si>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</si>
  <si>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</si>
  <si>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</si>
  <si>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</si>
  <si>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</si>
  <si>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</si>
  <si>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</si>
  <si>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</si>
  <si>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</si>
  <si>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</si>
  <si>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</si>
  <si>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</si>
  <si>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</si>
  <si>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</si>
  <si>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</si>
  <si>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</si>
  <si>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</si>
  <si>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</si>
  <si>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</si>
  <si>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</si>
  <si>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</si>
  <si>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</si>
  <si>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</si>
  <si>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</si>
  <si>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</si>
  <si>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</si>
  <si>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</si>
  <si>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</si>
  <si>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</si>
  <si>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</si>
  <si>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</si>
  <si>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</si>
  <si>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</si>
  <si>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</si>
  <si>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</si>
  <si>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</si>
  <si>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</si>
  <si>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</si>
  <si>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</si>
  <si>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</si>
  <si>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</si>
  <si>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</si>
  <si>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</si>
  <si>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</si>
  <si>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</si>
  <si>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</si>
  <si>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</si>
  <si>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</si>
  <si>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</si>
  <si>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</si>
  <si>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</si>
  <si>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</si>
  <si>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</si>
  <si>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</si>
  <si>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</si>
  <si>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</si>
  <si>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</si>
  <si>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</si>
  <si>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</si>
  <si>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</si>
  <si>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</si>
  <si>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</si>
  <si>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</si>
  <si>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</si>
  <si>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</si>
  <si>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</si>
  <si>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</si>
  <si>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</si>
  <si>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</si>
  <si>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</si>
  <si>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</si>
  <si>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</si>
  <si>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</si>
  <si>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</si>
  <si>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</si>
  <si>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</si>
  <si>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</si>
  <si>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</si>
  <si>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</si>
  <si>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</si>
  <si>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</si>
  <si>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</si>
  <si>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</si>
  <si>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</si>
  <si>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</si>
  <si>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</si>
  <si>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</si>
  <si>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</si>
  <si>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</si>
  <si>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</si>
  <si>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</si>
  <si>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</si>
  <si>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</si>
  <si>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</si>
  <si>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</si>
  <si>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</si>
  <si>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</si>
  <si>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</si>
  <si>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</si>
  <si>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</si>
  <si>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</si>
  <si>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</si>
  <si>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</si>
  <si>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</si>
  <si>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</si>
  <si>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</si>
  <si>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</si>
  <si>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</si>
  <si>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</si>
  <si>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</si>
  <si>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</si>
  <si>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</si>
  <si>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</si>
  <si>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</si>
  <si>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</si>
  <si>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</si>
  <si>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</si>
  <si>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</si>
  <si>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</si>
  <si>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</si>
  <si>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</si>
  <si>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</si>
  <si>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</si>
  <si>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</si>
  <si>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</si>
  <si>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</si>
  <si>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</si>
  <si>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</si>
  <si>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</si>
  <si>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</si>
  <si>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</si>
  <si>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</si>
  <si>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</si>
  <si>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</si>
  <si>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</si>
  <si>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</si>
  <si>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</si>
  <si>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</si>
  <si>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</si>
  <si>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</si>
  <si>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</si>
  <si>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</si>
  <si>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</si>
  <si>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</si>
  <si>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</si>
  <si>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</si>
  <si>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</si>
  <si>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</si>
  <si>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</si>
  <si>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</si>
  <si>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</si>
  <si>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</si>
  <si>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</si>
  <si>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</si>
  <si>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</si>
  <si>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</si>
  <si>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</si>
  <si>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</si>
  <si>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</si>
  <si>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</si>
  <si>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</si>
  <si>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</si>
  <si>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</si>
  <si>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</si>
  <si>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</si>
  <si>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</si>
  <si>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</si>
  <si>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</si>
  <si>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</si>
  <si>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</si>
  <si>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</si>
  <si>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</si>
  <si>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</si>
  <si>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</si>
  <si>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</si>
  <si>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</si>
  <si>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</si>
  <si>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</si>
  <si>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</si>
  <si>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</si>
  <si>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</si>
  <si>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</si>
  <si>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</si>
  <si>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</si>
  <si>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</si>
  <si>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</si>
  <si>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</si>
  <si>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</si>
  <si>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</si>
  <si>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</si>
  <si>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</si>
  <si>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</si>
  <si>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</si>
  <si>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</si>
  <si>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</si>
  <si>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</si>
  <si>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</si>
  <si>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</si>
  <si>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</si>
  <si>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</si>
  <si>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</si>
  <si>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</si>
  <si>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</si>
  <si>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</si>
  <si>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</si>
  <si>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</si>
  <si>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</si>
  <si>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</si>
  <si>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</si>
  <si>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</si>
  <si>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</si>
  <si>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</si>
  <si>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</si>
  <si>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</si>
  <si>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</si>
  <si>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</si>
  <si>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</si>
  <si>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</si>
  <si>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</si>
  <si>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</si>
  <si>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</si>
  <si>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</si>
  <si>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</si>
  <si>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</si>
  <si>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</si>
  <si>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</si>
  <si>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</si>
  <si>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</si>
  <si>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</si>
  <si>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</si>
  <si>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</si>
  <si>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</si>
  <si>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</si>
  <si>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</si>
  <si>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</si>
  <si>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</si>
  <si>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</si>
  <si>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</si>
  <si>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</si>
  <si>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</si>
  <si>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</si>
  <si>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</si>
  <si>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</si>
  <si>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</si>
  <si>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</si>
  <si>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</si>
  <si>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</si>
  <si>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</si>
  <si>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</si>
  <si>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</si>
  <si>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</si>
  <si>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</si>
  <si>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</si>
  <si>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</si>
  <si>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</si>
  <si>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</si>
  <si>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</si>
  <si>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</si>
  <si>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</si>
  <si>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</si>
  <si>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</si>
  <si>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</si>
  <si>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</si>
  <si>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</si>
  <si>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</si>
  <si>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</si>
  <si>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</si>
  <si>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</si>
  <si>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</si>
  <si>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</si>
  <si>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</si>
  <si>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</si>
  <si>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</si>
  <si>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</si>
  <si>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</si>
  <si>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</si>
  <si>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</si>
  <si>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</si>
  <si>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</si>
  <si>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</si>
  <si>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</si>
  <si>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</si>
  <si>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</si>
  <si>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</si>
  <si>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</si>
  <si>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</si>
  <si>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</si>
  <si>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</si>
  <si>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</si>
  <si>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</si>
  <si>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</si>
  <si>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</si>
  <si>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</si>
  <si>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</si>
  <si>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</si>
  <si>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</si>
  <si>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</si>
  <si>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</si>
  <si>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</si>
  <si>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</si>
  <si>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</si>
  <si>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</si>
  <si>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</si>
  <si>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</si>
  <si>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</si>
  <si>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</si>
  <si>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</si>
  <si>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</si>
  <si>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</si>
  <si>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</si>
  <si>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</si>
  <si>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</si>
  <si>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</si>
  <si>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</si>
  <si>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</si>
  <si>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</si>
  <si>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</si>
  <si>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</si>
  <si>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</si>
  <si>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</si>
  <si>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</si>
  <si>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</si>
  <si>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</si>
  <si>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</si>
  <si>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</si>
  <si>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</si>
  <si>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</si>
  <si>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</si>
  <si>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</si>
  <si>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</si>
  <si>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</si>
  <si>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</si>
  <si>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</si>
  <si>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</si>
  <si>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</si>
  <si>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</si>
  <si>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</si>
  <si>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</si>
  <si>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</si>
  <si>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</si>
  <si>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</si>
  <si>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</si>
  <si>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</si>
  <si>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</si>
  <si>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</si>
  <si>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</si>
  <si>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</si>
  <si>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</si>
  <si>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</si>
  <si>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</si>
  <si>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</si>
  <si>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</si>
  <si>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</si>
  <si>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</si>
  <si>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</si>
  <si>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</si>
  <si>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</si>
  <si>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</si>
  <si>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</si>
  <si>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</si>
  <si>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</si>
  <si>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</si>
  <si>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</si>
  <si>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</si>
  <si>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</si>
  <si>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</si>
  <si>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</si>
  <si>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</si>
  <si>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</si>
  <si>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</si>
  <si>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</si>
  <si>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</si>
  <si>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</si>
  <si>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</si>
  <si>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</si>
  <si>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</si>
  <si>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</si>
  <si>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</si>
  <si>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</si>
  <si>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</si>
  <si>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</si>
  <si>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</si>
  <si>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</si>
  <si>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</si>
  <si>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</si>
  <si>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</si>
  <si>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</si>
  <si>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</si>
  <si>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</si>
  <si>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</si>
  <si>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</si>
  <si>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</si>
  <si>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</si>
  <si>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</si>
  <si>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</si>
  <si>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</si>
  <si>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</si>
  <si>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</si>
  <si>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</si>
  <si>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</si>
  <si>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</si>
  <si>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</si>
  <si>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</si>
  <si>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</si>
  <si>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</si>
  <si>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</si>
  <si>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</si>
  <si>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</si>
  <si>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</si>
  <si>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</si>
  <si>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</si>
  <si>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</si>
  <si>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</si>
  <si>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</si>
  <si>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</si>
  <si>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</si>
  <si>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</si>
  <si>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</si>
  <si>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</si>
  <si>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</si>
  <si>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</si>
  <si>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</si>
  <si>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</si>
  <si>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</si>
  <si>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</si>
  <si>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</si>
  <si>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</si>
  <si>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</si>
  <si>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</si>
  <si>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</si>
  <si>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</si>
  <si>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</si>
  <si>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</si>
  <si>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</si>
  <si>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</si>
  <si>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</si>
  <si>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</si>
  <si>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</si>
  <si>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</si>
  <si>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</si>
  <si>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</si>
  <si>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</si>
  <si>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</si>
  <si>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</si>
  <si>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</si>
  <si>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</si>
  <si>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</si>
  <si>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</si>
  <si>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</si>
  <si>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</si>
  <si>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</si>
  <si>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</si>
  <si>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</si>
  <si>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</si>
  <si>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</si>
  <si>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</si>
  <si>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</si>
  <si>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</si>
  <si>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</si>
  <si>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</si>
  <si>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</si>
  <si>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</si>
  <si>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</si>
  <si>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</si>
  <si>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</si>
  <si>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</si>
  <si>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</si>
  <si>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</si>
  <si>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</si>
  <si>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</si>
  <si>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</si>
  <si>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</si>
  <si>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</si>
  <si>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</si>
  <si>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</si>
  <si>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</si>
  <si>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</si>
  <si>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</si>
  <si>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</si>
  <si>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</si>
  <si>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</si>
  <si>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</si>
  <si>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</si>
  <si>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</si>
  <si>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</si>
  <si>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</si>
  <si>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</si>
  <si>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</si>
  <si>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</si>
  <si>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</si>
  <si>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</si>
  <si>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</si>
  <si>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</si>
  <si>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</si>
  <si>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</si>
  <si>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</si>
  <si>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</si>
  <si>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</si>
  <si>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</si>
  <si>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</si>
  <si>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</si>
  <si>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</si>
  <si>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</si>
  <si>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</si>
  <si>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</si>
  <si>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</si>
  <si>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</si>
  <si>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</si>
  <si>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</si>
  <si>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</si>
  <si>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</si>
  <si>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</si>
  <si>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</si>
  <si>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</si>
  <si>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</si>
  <si>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</si>
  <si>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</si>
  <si>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</si>
  <si>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</si>
  <si>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</si>
  <si>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</si>
  <si>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</si>
  <si>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</si>
  <si>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</si>
  <si>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</si>
  <si>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</si>
  <si>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</si>
  <si>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</si>
  <si>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</si>
  <si>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</si>
  <si>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</si>
  <si>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</si>
  <si>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</si>
  <si>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</si>
  <si>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</si>
  <si>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</si>
  <si>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</si>
  <si>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</si>
  <si>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</si>
  <si>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</si>
  <si>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</si>
  <si>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</si>
  <si>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</si>
  <si>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</si>
  <si>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</si>
  <si>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</si>
  <si>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</si>
  <si>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</si>
  <si>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</si>
  <si>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</si>
  <si>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</si>
  <si>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</si>
  <si>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</si>
  <si>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</si>
  <si>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</si>
  <si>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</si>
  <si>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</si>
  <si>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</si>
  <si>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</si>
  <si>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</si>
  <si>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</si>
  <si>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</si>
  <si>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</si>
  <si>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</si>
  <si>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</si>
  <si>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</si>
  <si>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</si>
  <si>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</si>
  <si>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</si>
  <si>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</si>
  <si>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</si>
  <si>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</si>
  <si>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</si>
  <si>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</si>
  <si>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</si>
  <si>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</si>
  <si>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</si>
  <si>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</si>
  <si>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</si>
  <si>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</si>
  <si>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</si>
  <si>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</si>
  <si>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</si>
  <si>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</si>
  <si>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</si>
  <si>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</si>
  <si>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</si>
  <si>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</si>
  <si>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</si>
  <si>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</si>
  <si>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</si>
  <si>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</si>
  <si>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</si>
  <si>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</si>
  <si>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</si>
  <si>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</si>
  <si>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</si>
  <si>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</si>
  <si>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</si>
  <si>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</si>
  <si>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</si>
  <si>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</si>
  <si>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</si>
  <si>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</si>
  <si>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</si>
  <si>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</si>
  <si>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</si>
  <si>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</si>
  <si>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</si>
  <si>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</si>
  <si>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</si>
  <si>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</si>
  <si>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</si>
  <si>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</si>
  <si>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</si>
  <si>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</si>
  <si>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</si>
  <si>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</si>
  <si>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</si>
  <si>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</si>
  <si>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</si>
  <si>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</si>
  <si>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</si>
  <si>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</si>
  <si>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</si>
  <si>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</si>
  <si>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</si>
  <si>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</si>
  <si>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</si>
  <si>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</si>
  <si>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</si>
  <si>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</si>
  <si>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</si>
  <si>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</si>
  <si>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</si>
  <si>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</si>
  <si>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</si>
  <si>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</si>
  <si>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</si>
  <si>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</si>
  <si>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</si>
  <si>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</si>
  <si>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</si>
  <si>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</si>
  <si>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</si>
  <si>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</si>
  <si>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</si>
  <si>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</si>
  <si>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</si>
  <si>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</si>
  <si>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</si>
  <si>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</si>
  <si>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</si>
  <si>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</si>
  <si>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</si>
  <si>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</si>
  <si>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</si>
  <si>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</si>
  <si>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</si>
  <si>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</si>
  <si>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</si>
  <si>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</si>
  <si>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</si>
  <si>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</si>
  <si>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</si>
  <si>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</si>
  <si>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</si>
  <si>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</si>
  <si>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</si>
  <si>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</si>
  <si>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</si>
  <si>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</si>
  <si>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</si>
  <si>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</si>
  <si>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</si>
  <si>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</si>
  <si>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</si>
  <si>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</si>
  <si>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</si>
  <si>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</si>
  <si>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</si>
  <si>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</si>
  <si>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</si>
  <si>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</si>
  <si>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</si>
  <si>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</si>
  <si>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</si>
  <si>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</si>
  <si>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</si>
  <si>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</si>
  <si>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</si>
  <si>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</si>
  <si>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</si>
  <si>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</si>
  <si>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</si>
  <si>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</si>
  <si>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</si>
  <si>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</si>
  <si>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</si>
  <si>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</si>
  <si>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</si>
  <si>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</si>
  <si>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</si>
  <si>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</si>
  <si>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</si>
  <si>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</si>
  <si>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</si>
  <si>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</si>
  <si>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</si>
  <si>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</si>
  <si>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</si>
  <si>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</si>
  <si>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</si>
  <si>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</si>
  <si>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</si>
  <si>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</si>
  <si>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</si>
  <si>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</si>
  <si>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</si>
  <si>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</si>
  <si>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</si>
  <si>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</si>
  <si>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</si>
  <si>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</si>
  <si>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</si>
  <si>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</si>
  <si>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</si>
  <si>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</si>
  <si>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</si>
  <si>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</si>
  <si>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</si>
  <si>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</si>
  <si>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</si>
  <si>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</si>
  <si>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</si>
  <si>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</si>
  <si>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</si>
  <si>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</si>
  <si>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</si>
  <si>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</si>
  <si>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</si>
  <si>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</si>
  <si>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</si>
  <si>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</si>
  <si>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</si>
  <si>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</si>
  <si>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</si>
  <si>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</si>
  <si>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</si>
  <si>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</si>
  <si>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</si>
  <si>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</si>
  <si>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</si>
  <si>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</si>
  <si>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</si>
  <si>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</si>
  <si>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</si>
  <si>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</si>
  <si>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</si>
  <si>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</si>
  <si>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</si>
  <si>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</si>
  <si>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</si>
  <si>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</si>
  <si>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</si>
  <si>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</si>
  <si>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</si>
  <si>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</si>
  <si>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</si>
  <si>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</si>
  <si>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</si>
  <si>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</si>
  <si>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</si>
  <si>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</si>
  <si>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</si>
  <si>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</si>
  <si>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</si>
  <si>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</si>
  <si>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</si>
  <si>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</si>
  <si>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</si>
  <si>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</si>
  <si>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</si>
  <si>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</si>
  <si>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</si>
  <si>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</si>
  <si>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</si>
  <si>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</si>
  <si>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</si>
  <si>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</si>
  <si>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</si>
  <si>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</si>
  <si>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</si>
  <si>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</si>
  <si>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</si>
  <si>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</si>
  <si>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</si>
  <si>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</si>
  <si>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</si>
  <si>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</si>
  <si>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</si>
  <si>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</si>
  <si>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</si>
  <si>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</si>
  <si>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</si>
  <si>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</si>
  <si>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</si>
  <si>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</si>
  <si>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</si>
  <si>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</si>
  <si>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</si>
  <si>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</si>
  <si>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</si>
  <si>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</si>
  <si>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</si>
  <si>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</si>
  <si>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</si>
  <si>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</si>
  <si>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</si>
  <si>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</si>
  <si>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</si>
  <si>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</si>
  <si>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</si>
  <si>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</si>
  <si>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</si>
  <si>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</si>
  <si>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</si>
  <si>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</si>
  <si>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</si>
  <si>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</si>
  <si>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</si>
  <si>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</si>
  <si>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</si>
  <si>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</si>
  <si>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</si>
  <si>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</si>
  <si>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</si>
  <si>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</si>
  <si>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</si>
  <si>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</si>
  <si>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</si>
  <si>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</si>
  <si>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</si>
  <si>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</si>
  <si>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</si>
  <si>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</si>
  <si>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</si>
  <si>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</si>
  <si>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</si>
  <si>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</si>
  <si>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</si>
  <si>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</si>
  <si>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</si>
  <si>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</si>
  <si>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</si>
  <si>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</si>
  <si>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</si>
  <si>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</si>
  <si>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</si>
  <si>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</si>
  <si>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</si>
  <si>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</si>
  <si>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</si>
  <si>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</si>
  <si>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</si>
  <si>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</si>
  <si>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</si>
  <si>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</si>
  <si>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</si>
  <si>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</si>
  <si>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</si>
  <si>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</si>
  <si>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</si>
  <si>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</si>
  <si>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</si>
  <si>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</si>
  <si>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</si>
  <si>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</si>
  <si>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</si>
  <si>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</si>
  <si>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</si>
  <si>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</si>
  <si>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</si>
  <si>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</si>
  <si>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</si>
  <si>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</si>
  <si>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</si>
  <si>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</si>
  <si>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</si>
  <si>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</si>
  <si>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</si>
  <si>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</si>
  <si>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</si>
  <si>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</si>
  <si>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</si>
  <si>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</si>
  <si>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</si>
  <si>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</si>
  <si>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</si>
  <si>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</si>
  <si>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</si>
  <si>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</si>
  <si>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</si>
  <si>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</si>
  <si>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</si>
  <si>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</si>
  <si>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</si>
  <si>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</si>
  <si>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</si>
  <si>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</si>
  <si>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</si>
  <si>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</si>
  <si>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</si>
  <si>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</si>
  <si>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</si>
  <si>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</si>
  <si>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</si>
  <si>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</si>
  <si>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</si>
  <si>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</si>
  <si>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</si>
  <si>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</si>
  <si>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</si>
  <si>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</si>
  <si>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</si>
  <si>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</si>
  <si>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</si>
  <si>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</si>
  <si>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</si>
  <si>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</si>
  <si>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</si>
  <si>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</si>
  <si>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</si>
  <si>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</si>
  <si>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</si>
  <si>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</si>
  <si>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</si>
  <si>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</si>
  <si>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</si>
  <si>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</si>
  <si>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</si>
  <si>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</si>
  <si>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</si>
  <si>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</si>
  <si>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</si>
  <si>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</si>
  <si>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</si>
  <si>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</si>
  <si>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</si>
  <si>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</si>
  <si>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</si>
  <si>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</si>
  <si>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</si>
  <si>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</si>
  <si>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</si>
  <si>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</si>
  <si>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</si>
  <si>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</si>
  <si>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</si>
  <si>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</si>
  <si>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</si>
  <si>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</si>
  <si>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</si>
  <si>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</si>
  <si>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</si>
  <si>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</si>
  <si>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</si>
  <si>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</si>
  <si>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</si>
  <si>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</si>
  <si>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</si>
  <si>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</si>
  <si>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</si>
  <si>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</si>
  <si>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</si>
  <si>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</si>
  <si>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</si>
  <si>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</si>
  <si>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</si>
  <si>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</si>
  <si>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</si>
  <si>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</si>
  <si>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</si>
  <si>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</si>
  <si>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</si>
  <si>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</si>
  <si>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</si>
  <si>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</si>
  <si>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</si>
  <si>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</si>
  <si>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</si>
  <si>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</si>
  <si>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</si>
  <si>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</si>
  <si>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</si>
  <si>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</si>
  <si>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</si>
  <si>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</si>
  <si>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</si>
  <si>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</si>
  <si>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</si>
  <si>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</si>
  <si>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</si>
  <si>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</si>
  <si>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</si>
  <si>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</si>
  <si>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</si>
  <si>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</si>
  <si>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</si>
  <si>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</si>
  <si>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</si>
  <si>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</si>
  <si>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</si>
  <si>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</si>
  <si>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</si>
  <si>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</si>
  <si>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</si>
  <si>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</si>
  <si>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</si>
  <si>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</si>
  <si>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</si>
  <si>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</si>
  <si>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</si>
  <si>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</si>
  <si>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</si>
  <si>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</si>
  <si>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</si>
  <si>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</si>
  <si>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</si>
  <si>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</si>
  <si>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</si>
  <si>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</si>
  <si>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</si>
  <si>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</si>
  <si>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</si>
  <si>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</si>
  <si>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</si>
  <si>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</si>
  <si>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</si>
  <si>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</si>
  <si>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</si>
  <si>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</si>
  <si>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</si>
  <si>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</si>
  <si>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</si>
  <si>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</si>
  <si>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</si>
  <si>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</si>
  <si>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</si>
  <si>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</si>
  <si>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</si>
  <si>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</si>
  <si>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</si>
  <si>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</si>
  <si>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</si>
  <si>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</si>
  <si>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</si>
  <si>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</si>
  <si>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</si>
  <si>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</si>
  <si>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</si>
  <si>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</si>
  <si>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</si>
  <si>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</si>
  <si>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</si>
  <si>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</si>
  <si>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</si>
  <si>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</si>
  <si>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</si>
  <si>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</si>
  <si>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</si>
  <si>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</si>
  <si>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</si>
  <si>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</si>
  <si>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</si>
  <si>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</si>
  <si>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</si>
  <si>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</si>
  <si>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</si>
  <si>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</si>
  <si>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</si>
  <si>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</si>
  <si>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</si>
  <si>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</si>
  <si>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</si>
  <si>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</si>
  <si>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</si>
  <si>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</si>
  <si>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</si>
  <si>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</si>
  <si>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</si>
  <si>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</si>
  <si>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</si>
  <si>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</si>
  <si>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</si>
  <si>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</si>
  <si>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</si>
  <si>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</si>
  <si>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</si>
  <si>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</si>
  <si>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</si>
  <si>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</si>
  <si>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</si>
  <si>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</si>
  <si>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</si>
  <si>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</si>
  <si>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</si>
  <si>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</si>
  <si>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</si>
  <si>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</si>
  <si>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</si>
  <si>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</si>
  <si>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</si>
  <si>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</si>
  <si>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</si>
  <si>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</si>
  <si>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</si>
  <si>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</si>
  <si>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</si>
  <si>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</si>
  <si>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</si>
  <si>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</si>
  <si>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</si>
  <si>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</si>
  <si>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</si>
  <si>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</si>
  <si>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</si>
  <si>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</si>
  <si>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</si>
  <si>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</si>
  <si>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</si>
  <si>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</si>
  <si>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</si>
  <si>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</si>
  <si>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</si>
  <si>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</si>
  <si>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</si>
  <si>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</si>
  <si>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</si>
  <si>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</si>
  <si>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</si>
  <si>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</si>
  <si>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</si>
  <si>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</si>
  <si>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</si>
  <si>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</si>
  <si>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</si>
  <si>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</si>
  <si>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</si>
  <si>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</si>
  <si>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</si>
  <si>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</si>
  <si>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</si>
  <si>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</si>
  <si>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</si>
  <si>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</si>
  <si>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</si>
  <si>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</si>
  <si>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</si>
  <si>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</si>
  <si>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</si>
  <si>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</si>
  <si>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</si>
  <si>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</si>
  <si>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</si>
  <si>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</si>
  <si>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</si>
  <si>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</si>
  <si>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</si>
  <si>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</si>
  <si>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</si>
  <si>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</si>
  <si>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</si>
  <si>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</si>
  <si>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</si>
  <si>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</si>
  <si>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</si>
  <si>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</si>
  <si>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</si>
  <si>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</si>
  <si>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</si>
  <si>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</si>
  <si>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</si>
  <si>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</si>
  <si>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</si>
  <si>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</si>
  <si>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</si>
  <si>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</si>
  <si>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</si>
  <si>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</si>
  <si>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</si>
  <si>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</si>
  <si>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</si>
  <si>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</si>
  <si>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</si>
  <si>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</si>
  <si>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</si>
  <si>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</si>
  <si>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</si>
  <si>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</si>
  <si>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</si>
  <si>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</si>
  <si>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</si>
  <si>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</si>
  <si>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</si>
  <si>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</si>
  <si>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</si>
  <si>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</si>
  <si>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</si>
  <si>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</si>
  <si>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</si>
  <si>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</si>
  <si>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</si>
  <si>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</si>
  <si>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</si>
  <si>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</si>
  <si>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</si>
  <si>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</si>
  <si>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</si>
  <si>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</si>
  <si>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</si>
  <si>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</si>
  <si>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</si>
  <si>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</si>
  <si>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</si>
  <si>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</si>
  <si>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</si>
  <si>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</si>
  <si>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</si>
  <si>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</si>
  <si>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</si>
  <si>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</si>
  <si>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</si>
  <si>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</si>
  <si>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</si>
  <si>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</si>
  <si>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</si>
  <si>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</si>
  <si>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</si>
  <si>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</si>
  <si>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</si>
  <si>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</si>
  <si>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</si>
  <si>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</si>
  <si>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</si>
  <si>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</si>
  <si>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</si>
  <si>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</si>
  <si>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</si>
  <si>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</si>
  <si>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</si>
  <si>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</si>
  <si>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</si>
  <si>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</si>
  <si>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</si>
  <si>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</si>
  <si>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</si>
  <si>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</si>
  <si>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</si>
  <si>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</si>
  <si>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</si>
  <si>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</si>
  <si>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</si>
  <si>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</si>
  <si>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</si>
  <si>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</si>
  <si>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</si>
  <si>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</si>
  <si>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</si>
  <si>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</si>
  <si>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</si>
  <si>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</si>
  <si>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</si>
  <si>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</si>
  <si>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</si>
  <si>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</si>
  <si>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</si>
  <si>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</si>
  <si>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</si>
  <si>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</si>
  <si>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</si>
  <si>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</si>
  <si>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</si>
  <si>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</si>
  <si>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</si>
  <si>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</si>
  <si>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</si>
  <si>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</si>
  <si>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</si>
  <si>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</si>
  <si>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</si>
  <si>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</si>
  <si>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</si>
  <si>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</si>
  <si>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</si>
  <si>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</si>
  <si>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</si>
  <si>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</si>
  <si>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</si>
  <si>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</si>
  <si>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</si>
  <si>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</si>
  <si>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</si>
  <si>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</si>
  <si>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</si>
  <si>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</si>
  <si>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</si>
  <si>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</si>
  <si>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</si>
  <si>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</si>
  <si>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</si>
  <si>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</si>
  <si>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</si>
  <si>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</si>
  <si>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</si>
  <si>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</si>
  <si>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</si>
  <si>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</si>
  <si>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</si>
  <si>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</si>
  <si>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</si>
  <si>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</si>
  <si>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</si>
  <si>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</si>
  <si>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</si>
  <si>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</si>
  <si>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</si>
  <si>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</si>
  <si>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</si>
  <si>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</si>
  <si>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</si>
  <si>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</si>
  <si>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</si>
  <si>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</si>
  <si>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</si>
  <si>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</si>
  <si>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</si>
  <si>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</si>
  <si>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</si>
  <si>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</si>
  <si>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</si>
  <si>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</si>
  <si>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</si>
  <si>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</si>
  <si>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</si>
  <si>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</si>
  <si>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</si>
  <si>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</si>
  <si>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</si>
  <si>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</si>
  <si>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</si>
  <si>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</si>
  <si>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</si>
  <si>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</si>
  <si>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</si>
  <si>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</si>
  <si>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</si>
  <si>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</si>
  <si>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</si>
  <si>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</si>
  <si>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</si>
  <si>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</si>
  <si>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</si>
  <si>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</si>
  <si>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</si>
  <si>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</si>
  <si>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</si>
  <si>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</si>
  <si>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</si>
  <si>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</si>
  <si>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</si>
  <si>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</si>
  <si>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</si>
  <si>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</si>
  <si>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</si>
  <si>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</si>
  <si>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</si>
  <si>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</si>
  <si>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</si>
  <si>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</si>
  <si>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</si>
  <si>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</si>
  <si>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</si>
  <si>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</si>
  <si>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</si>
  <si>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</si>
  <si>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</si>
  <si>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</si>
  <si>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</si>
  <si>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</si>
  <si>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</si>
  <si>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</si>
  <si>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</si>
  <si>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</si>
  <si>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</si>
  <si>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</si>
  <si>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</si>
  <si>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</si>
  <si>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</si>
  <si>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</si>
  <si>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</si>
  <si>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</si>
  <si>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</si>
  <si>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</si>
  <si>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</si>
  <si>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</si>
  <si>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</si>
  <si>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</si>
  <si>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</si>
  <si>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</si>
  <si>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</si>
  <si>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</si>
  <si>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</si>
  <si>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</si>
  <si>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</si>
  <si>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</si>
  <si>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</si>
  <si>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</si>
  <si>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</si>
  <si>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</si>
  <si>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</si>
  <si>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</si>
  <si>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</si>
  <si>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</si>
  <si>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</si>
  <si>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</si>
  <si>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</si>
  <si>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</si>
  <si>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</si>
  <si>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</si>
  <si>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</si>
  <si>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</si>
  <si>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</si>
  <si>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</si>
  <si>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</si>
  <si>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</si>
  <si>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</si>
  <si>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</si>
  <si>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</si>
  <si>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</si>
  <si>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</si>
  <si>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</si>
  <si>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</si>
  <si>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</si>
  <si>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</si>
  <si>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</si>
  <si>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</si>
  <si>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</si>
  <si>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</si>
  <si>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</si>
  <si>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</si>
  <si>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</si>
  <si>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</si>
  <si>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</si>
  <si>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</si>
  <si>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</si>
  <si>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</si>
  <si>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</si>
  <si>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</si>
  <si>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</si>
  <si>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</si>
  <si>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</si>
  <si>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</si>
  <si>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</si>
  <si>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</si>
  <si>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</si>
  <si>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</si>
  <si>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</si>
  <si>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</si>
  <si>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</si>
  <si>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</si>
  <si>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</si>
  <si>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</si>
  <si>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</si>
  <si>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</si>
  <si>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</si>
  <si>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</si>
  <si>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</si>
  <si>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</si>
  <si>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</si>
  <si>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</si>
  <si>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</si>
  <si>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</si>
  <si>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</si>
  <si>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</si>
  <si>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</si>
  <si>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</si>
  <si>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</si>
  <si>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</si>
  <si>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</si>
  <si>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</si>
  <si>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</si>
  <si>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</si>
  <si>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</si>
  <si>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</si>
  <si>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</si>
  <si>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</si>
  <si>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</si>
  <si>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</si>
  <si>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</si>
  <si>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</si>
  <si>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</si>
  <si>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</si>
  <si>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</si>
  <si>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</si>
  <si>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</si>
  <si>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</si>
  <si>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</si>
  <si>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</si>
  <si>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</si>
  <si>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</si>
  <si>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</si>
  <si>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</si>
  <si>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</si>
  <si>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</si>
  <si>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</si>
  <si>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</si>
  <si>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</si>
  <si>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</si>
  <si>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</si>
  <si>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</si>
  <si>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</si>
  <si>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</si>
  <si>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</si>
  <si>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</si>
  <si>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</si>
  <si>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</si>
  <si>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</si>
  <si>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</si>
  <si>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</si>
  <si>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</si>
  <si>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</si>
  <si>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</si>
  <si>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</si>
  <si>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</si>
  <si>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</si>
  <si>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</si>
  <si>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</si>
  <si>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</si>
  <si>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</si>
  <si>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</si>
  <si>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</si>
  <si>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</si>
  <si>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</si>
  <si>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</si>
  <si>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</si>
  <si>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</si>
  <si>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</si>
  <si>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</si>
  <si>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</si>
  <si>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</si>
  <si>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</si>
  <si>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</si>
  <si>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</si>
  <si>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</si>
  <si>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</si>
  <si>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</si>
  <si>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</si>
  <si>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</si>
  <si>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</si>
  <si>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</si>
  <si>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</si>
  <si>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</si>
  <si>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</si>
  <si>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</si>
  <si>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</si>
  <si>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</si>
  <si>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</si>
  <si>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</si>
  <si>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</si>
  <si>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</si>
  <si>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</si>
  <si>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</si>
  <si>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</si>
  <si>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</si>
  <si>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</si>
  <si>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</si>
  <si>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</si>
  <si>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</si>
  <si>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</si>
  <si>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</si>
  <si>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</si>
  <si>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</si>
  <si>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</si>
  <si>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</si>
  <si>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</si>
  <si>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</si>
  <si>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</si>
  <si>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</si>
  <si>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</si>
  <si>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</si>
  <si>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</si>
  <si>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</si>
  <si>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</si>
  <si>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</si>
  <si>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</si>
  <si>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</si>
  <si>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</si>
  <si>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</si>
  <si>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</si>
  <si>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</si>
  <si>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</si>
  <si>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</si>
  <si>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</si>
  <si>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</si>
  <si>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</si>
  <si>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</si>
  <si>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</si>
  <si>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</si>
  <si>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</si>
  <si>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</si>
  <si>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</si>
  <si>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</si>
  <si>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</si>
  <si>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</si>
  <si>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</si>
  <si>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</si>
  <si>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</si>
  <si>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</si>
  <si>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</si>
  <si>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</si>
  <si>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</si>
  <si>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</si>
  <si>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</si>
  <si>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</si>
  <si>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</si>
  <si>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</si>
  <si>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</si>
  <si>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</si>
  <si>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</si>
  <si>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</si>
  <si>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</si>
  <si>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</si>
  <si>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</si>
  <si>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</si>
  <si>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</si>
  <si>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</si>
  <si>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</si>
  <si>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</si>
  <si>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</si>
  <si>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</si>
  <si>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</si>
  <si>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</si>
  <si>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</si>
  <si>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</si>
  <si>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</si>
  <si>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</si>
  <si>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</si>
  <si>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</si>
  <si>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</si>
  <si>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</si>
  <si>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</si>
  <si>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</si>
  <si>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</si>
  <si>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</si>
  <si>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</si>
  <si>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</si>
  <si>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</si>
  <si>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</si>
  <si>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</si>
  <si>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</si>
  <si>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</si>
  <si>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</si>
  <si>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</si>
  <si>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</si>
  <si>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</si>
  <si>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</si>
  <si>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</si>
  <si>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</si>
  <si>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</si>
  <si>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</si>
  <si>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</si>
  <si>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</si>
  <si>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</si>
  <si>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</si>
  <si>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</si>
  <si>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</si>
  <si>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</si>
  <si>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</si>
  <si>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</si>
  <si>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</si>
  <si>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</si>
  <si>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</si>
  <si>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</si>
  <si>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</si>
  <si>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</si>
  <si>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</si>
  <si>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</si>
  <si>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</si>
  <si>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</si>
  <si>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</si>
  <si>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</si>
  <si>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</si>
  <si>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</si>
  <si>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</si>
  <si>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</si>
  <si>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</si>
  <si>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</si>
  <si>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</si>
  <si>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</si>
  <si>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</si>
  <si>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</si>
  <si>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</si>
  <si>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</si>
  <si>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</si>
  <si>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</si>
  <si>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</si>
  <si>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</si>
  <si>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</si>
  <si>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</si>
  <si>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</si>
  <si>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</si>
  <si>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</si>
  <si>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</si>
  <si>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</si>
  <si>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</si>
  <si>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</si>
  <si>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</si>
  <si>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</si>
  <si>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</si>
  <si>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</si>
  <si>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</si>
  <si>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</si>
  <si>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</si>
  <si>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</si>
  <si>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</si>
  <si>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</si>
  <si>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</si>
  <si>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</si>
  <si>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</si>
  <si>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</si>
  <si>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</si>
  <si>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</si>
  <si>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</si>
  <si>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</si>
  <si>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</si>
  <si>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</si>
  <si>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</si>
  <si>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</si>
  <si>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</si>
  <si>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</si>
  <si>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</si>
  <si>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</si>
  <si>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</si>
  <si>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</si>
  <si>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</si>
  <si>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</si>
  <si>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</si>
  <si>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</si>
  <si>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</si>
  <si>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</si>
  <si>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</si>
  <si>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</si>
  <si>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</si>
  <si>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</si>
  <si>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</si>
  <si>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</si>
  <si>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</si>
  <si>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</si>
  <si>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</si>
  <si>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</si>
  <si>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</si>
  <si>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</si>
  <si>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</si>
  <si>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</si>
  <si>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</si>
  <si>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</si>
  <si>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</si>
  <si>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</si>
  <si>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</si>
  <si>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</si>
  <si>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</si>
  <si>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</si>
  <si>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</si>
  <si>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</si>
  <si>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</si>
  <si>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</si>
  <si>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</si>
  <si>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</si>
  <si>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</si>
  <si>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</si>
  <si>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</si>
  <si>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</si>
  <si>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</si>
  <si>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</si>
  <si>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</si>
  <si>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</si>
  <si>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</si>
  <si>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</si>
  <si>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</si>
  <si>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</si>
  <si>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</si>
  <si>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</si>
  <si>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</si>
  <si>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</si>
  <si>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</si>
  <si>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</si>
  <si>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</si>
  <si>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</si>
  <si>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</si>
  <si>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</si>
  <si>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</si>
  <si>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</si>
  <si>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</si>
  <si>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</si>
  <si>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</si>
  <si>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</si>
  <si>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</si>
  <si>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</si>
  <si>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</si>
  <si>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</si>
  <si>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</si>
  <si>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</si>
  <si>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</si>
  <si>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</si>
  <si>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</si>
  <si>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</si>
  <si>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</si>
  <si>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</si>
  <si>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</si>
  <si>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</si>
  <si>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</si>
  <si>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</si>
  <si>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</si>
  <si>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</si>
  <si>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</si>
  <si>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</si>
  <si>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</si>
  <si>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</si>
  <si>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</si>
  <si>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</si>
  <si>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</si>
  <si>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</si>
  <si>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</si>
  <si>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</si>
  <si>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</si>
  <si>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</si>
  <si>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</si>
  <si>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</si>
  <si>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</si>
  <si>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</si>
  <si>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</si>
  <si>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</si>
  <si>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</si>
  <si>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</si>
  <si>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</si>
  <si>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</si>
  <si>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</si>
  <si>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</si>
  <si>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</si>
  <si>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</si>
  <si>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</si>
  <si>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</si>
  <si>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</si>
  <si>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</si>
  <si>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</si>
  <si>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</si>
  <si>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</si>
  <si>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</si>
  <si>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</si>
  <si>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</si>
  <si>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</si>
  <si>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</si>
  <si>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</si>
  <si>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</si>
  <si>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</si>
  <si>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</si>
  <si>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</si>
  <si>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</si>
  <si>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</si>
  <si>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</si>
  <si>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</si>
  <si>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</si>
  <si>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</si>
  <si>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</si>
  <si>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</si>
  <si>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</si>
  <si>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</si>
  <si>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</si>
  <si>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</si>
  <si>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</si>
  <si>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</si>
  <si>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</si>
  <si>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</si>
  <si>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</si>
  <si>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</si>
  <si>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</si>
  <si>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</si>
  <si>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</si>
  <si>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</si>
  <si>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</si>
  <si>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</si>
  <si>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</si>
  <si>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</si>
  <si>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</si>
  <si>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</si>
  <si>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</si>
  <si>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</si>
  <si>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</si>
  <si>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</si>
  <si>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</si>
  <si>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</si>
  <si>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</si>
  <si>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</si>
  <si>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</si>
  <si>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</si>
  <si>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</si>
  <si>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</si>
  <si>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</si>
  <si>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</si>
  <si>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</si>
  <si>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</si>
  <si>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</si>
  <si>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</si>
  <si>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</si>
  <si>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</si>
  <si>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</si>
  <si>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</si>
  <si>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</si>
  <si>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</si>
  <si>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</si>
  <si>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</si>
  <si>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</si>
  <si>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</si>
  <si>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</si>
  <si>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</si>
  <si>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</si>
  <si>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</si>
  <si>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</si>
  <si>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</si>
  <si>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</si>
  <si>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</si>
  <si>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</si>
  <si>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</si>
  <si>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</si>
  <si>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</si>
  <si>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</si>
  <si>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</si>
  <si>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</si>
  <si>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</si>
  <si>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</si>
  <si>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</si>
  <si>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</si>
  <si>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</si>
  <si>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</si>
  <si>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</si>
  <si>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</si>
  <si>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</si>
  <si>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</si>
  <si>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</si>
  <si>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</si>
  <si>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</si>
  <si>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</si>
  <si>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</si>
  <si>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</si>
  <si>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</si>
  <si>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</si>
  <si>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</si>
  <si>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</si>
  <si>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</si>
  <si>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</si>
  <si>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</si>
  <si>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</si>
  <si>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</si>
  <si>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</si>
  <si>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</si>
  <si>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</si>
  <si>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</si>
  <si>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</si>
  <si>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</si>
  <si>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</si>
  <si>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</si>
  <si>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</si>
  <si>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</si>
  <si>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</si>
  <si>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</si>
  <si>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</si>
  <si>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</si>
  <si>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</si>
  <si>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</si>
  <si>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</si>
  <si>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</si>
  <si>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</si>
  <si>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</si>
  <si>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</si>
  <si>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</si>
  <si>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</si>
  <si>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</si>
  <si>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</si>
  <si>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</si>
  <si>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</si>
  <si>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</si>
  <si>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</si>
  <si>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</si>
  <si>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</si>
  <si>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</si>
  <si>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</si>
  <si>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</si>
  <si>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</si>
  <si>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</si>
  <si>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</si>
  <si>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</si>
  <si>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</si>
  <si>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</si>
  <si>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</si>
  <si>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</si>
  <si>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</si>
  <si>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</si>
  <si>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</si>
  <si>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</si>
  <si>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</si>
  <si>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</si>
  <si>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</si>
  <si>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</si>
  <si>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</si>
  <si>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</si>
  <si>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</si>
  <si>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</si>
  <si>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</si>
  <si>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</si>
  <si>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</si>
  <si>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</si>
  <si>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</si>
  <si>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</si>
  <si>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</si>
  <si>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</si>
  <si>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</si>
  <si>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</si>
  <si>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</si>
  <si>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</si>
  <si>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</si>
  <si>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</si>
  <si>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</si>
  <si>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</si>
  <si>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</si>
  <si>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</si>
  <si>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</si>
  <si>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</si>
  <si>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</si>
  <si>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</si>
  <si>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</si>
  <si>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</si>
  <si>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</si>
  <si>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</si>
  <si>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</si>
  <si>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</si>
  <si>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</si>
  <si>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</si>
  <si>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</si>
  <si>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</si>
  <si>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</si>
  <si>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</si>
  <si>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</si>
  <si>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</si>
  <si>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</si>
  <si>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</si>
  <si>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</si>
  <si>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</si>
  <si>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</si>
  <si>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</si>
  <si>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</si>
  <si>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</si>
  <si>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</si>
  <si>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</si>
  <si>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</si>
  <si>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</si>
  <si>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</si>
  <si>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</si>
  <si>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</si>
  <si>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</si>
  <si>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</si>
  <si>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</si>
  <si>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</si>
  <si>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</si>
  <si>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</si>
  <si>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</si>
  <si>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</si>
  <si>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</si>
  <si>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</si>
  <si>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</si>
  <si>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</si>
  <si>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</si>
  <si>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</si>
  <si>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</si>
  <si>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</si>
  <si>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</si>
  <si>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</si>
  <si>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</si>
  <si>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</si>
  <si>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</si>
  <si>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</si>
  <si>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</si>
  <si>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</si>
  <si>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</si>
  <si>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</si>
  <si>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</si>
  <si>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</si>
  <si>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</si>
  <si>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</si>
  <si>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</si>
  <si>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</si>
  <si>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</si>
  <si>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</si>
  <si>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</si>
  <si>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</si>
  <si>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</si>
  <si>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</si>
  <si>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</si>
  <si>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</si>
  <si>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</si>
  <si>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</si>
  <si>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</si>
  <si>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</si>
  <si>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</si>
  <si>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</si>
  <si>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</si>
  <si>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</si>
  <si>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</si>
  <si>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</si>
  <si>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</si>
  <si>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</si>
  <si>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</si>
  <si>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</si>
  <si>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</si>
  <si>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</si>
  <si>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</si>
  <si>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</si>
  <si>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</si>
  <si>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</si>
  <si>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</si>
  <si>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</si>
  <si>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</si>
  <si>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</si>
  <si>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</si>
  <si>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</si>
  <si>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</si>
  <si>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</si>
  <si>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</si>
  <si>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</si>
  <si>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</si>
  <si>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</si>
  <si>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</si>
  <si>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</si>
  <si>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</si>
  <si>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</si>
  <si>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</si>
  <si>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</si>
  <si>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</si>
  <si>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</si>
  <si>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</si>
  <si>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</si>
  <si>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</si>
  <si>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</si>
  <si>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</si>
  <si>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</si>
  <si>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</si>
  <si>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</si>
  <si>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</si>
  <si>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</si>
  <si>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</si>
  <si>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</si>
  <si>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</si>
  <si>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</si>
  <si>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</si>
  <si>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</si>
  <si>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</si>
  <si>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</si>
  <si>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</si>
  <si>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</si>
  <si>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</si>
  <si>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</si>
  <si>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</si>
  <si>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</si>
  <si>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</si>
  <si>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</si>
  <si>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</si>
  <si>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</si>
  <si>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</si>
  <si>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</si>
  <si>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</si>
  <si>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</si>
  <si>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</si>
  <si>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</si>
  <si>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</si>
  <si>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</si>
  <si>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</si>
  <si>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</si>
  <si>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</si>
  <si>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</si>
  <si>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</si>
  <si>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</si>
  <si>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</si>
  <si>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</si>
  <si>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</si>
  <si>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</si>
  <si>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</si>
  <si>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</si>
  <si>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</si>
  <si>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</si>
  <si>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</si>
  <si>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</si>
  <si>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</si>
  <si>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</si>
  <si>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</si>
  <si>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</si>
  <si>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</si>
  <si>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</si>
  <si>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</si>
  <si>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</si>
  <si>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</si>
  <si>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</si>
  <si>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</si>
  <si>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</si>
  <si>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</si>
  <si>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</si>
  <si>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</si>
  <si>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</si>
  <si>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</si>
  <si>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</si>
  <si>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</si>
  <si>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</si>
  <si>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</si>
  <si>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</si>
  <si>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</si>
  <si>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</si>
  <si>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</si>
  <si>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</si>
  <si>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</si>
  <si>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</si>
  <si>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</si>
  <si>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</si>
  <si>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</si>
  <si>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</si>
  <si>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</si>
  <si>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</si>
  <si>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</si>
  <si>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</si>
  <si>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</si>
  <si>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</si>
  <si>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</si>
  <si>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</si>
  <si>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</si>
  <si>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</si>
  <si>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</si>
  <si>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</si>
  <si>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</si>
  <si>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</si>
  <si>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</si>
  <si>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</si>
  <si>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</si>
  <si>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</si>
  <si>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</si>
  <si>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</si>
  <si>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</si>
  <si>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</si>
  <si>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</si>
  <si>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</si>
  <si>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</si>
  <si>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</si>
  <si>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</si>
  <si>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</si>
  <si>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</si>
  <si>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</si>
  <si>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</si>
  <si>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</si>
  <si>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</si>
  <si>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</si>
  <si>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</si>
  <si>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</si>
  <si>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</si>
  <si>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</si>
  <si>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</si>
  <si>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</si>
  <si>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</si>
  <si>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</si>
  <si>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</si>
  <si>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</si>
  <si>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</si>
  <si>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</si>
  <si>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</si>
  <si>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</si>
  <si>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</si>
  <si>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</si>
  <si>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</si>
  <si>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</si>
  <si>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</si>
  <si>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</si>
  <si>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</si>
  <si>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</si>
  <si>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</si>
  <si>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</si>
  <si>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</si>
  <si>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</si>
  <si>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</si>
  <si>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</si>
  <si>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</si>
  <si>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</si>
  <si>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</si>
  <si>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</si>
  <si>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</si>
  <si>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</si>
  <si>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</si>
  <si>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</si>
  <si>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</si>
  <si>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</si>
  <si>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</si>
  <si>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</si>
  <si>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</si>
  <si>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</si>
  <si>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</si>
  <si>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</si>
  <si>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</si>
  <si>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</si>
  <si>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</si>
  <si>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</si>
  <si>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</si>
  <si>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</si>
  <si>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</si>
  <si>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</si>
  <si>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</si>
  <si>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</si>
  <si>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</si>
  <si>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</si>
  <si>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</si>
  <si>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</si>
  <si>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</si>
  <si>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</si>
  <si>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</si>
  <si>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</si>
  <si>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</si>
  <si>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</si>
  <si>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</si>
  <si>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</si>
  <si>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</si>
  <si>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</si>
  <si>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</si>
  <si>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</si>
  <si>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</si>
  <si>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</si>
  <si>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</si>
  <si>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</si>
  <si>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</si>
  <si>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</si>
  <si>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</si>
  <si>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</si>
  <si>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</si>
  <si>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</si>
  <si>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</si>
  <si>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</si>
  <si>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</si>
  <si>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</si>
  <si>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</si>
  <si>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</si>
  <si>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</si>
  <si>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</si>
  <si>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</si>
  <si>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</si>
  <si>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</si>
  <si>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</si>
  <si>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</si>
  <si>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</si>
  <si>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</si>
  <si>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</si>
  <si>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</si>
  <si>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</si>
  <si>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</si>
  <si>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</si>
  <si>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</si>
  <si>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</si>
  <si>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</si>
  <si>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</si>
  <si>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</si>
  <si>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</si>
  <si>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</si>
  <si>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</si>
  <si>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</si>
  <si>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</si>
  <si>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</si>
  <si>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</si>
  <si>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</si>
  <si>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</si>
  <si>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</si>
  <si>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</si>
  <si>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</si>
  <si>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</si>
  <si>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</si>
  <si>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</si>
  <si>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</si>
  <si>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</si>
  <si>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</si>
  <si>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</si>
  <si>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</si>
  <si>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</si>
  <si>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</si>
  <si>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</si>
  <si>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</si>
  <si>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</si>
  <si>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</si>
  <si>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</si>
  <si>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</si>
  <si>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</si>
  <si>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</si>
  <si>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</si>
  <si>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</si>
  <si>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</si>
  <si>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</si>
  <si>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</si>
  <si>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</si>
  <si>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</si>
  <si>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</si>
  <si>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</si>
  <si>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</si>
  <si>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</si>
  <si>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</si>
  <si>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</si>
  <si>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</si>
  <si>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</si>
  <si>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</si>
  <si>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</si>
  <si>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</si>
  <si>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</si>
  <si>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</si>
  <si>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</si>
  <si>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</si>
  <si>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</si>
  <si>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</si>
  <si>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</si>
  <si>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</si>
  <si>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</si>
  <si>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</si>
  <si>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</si>
  <si>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</si>
  <si>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</si>
  <si>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</si>
  <si>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</si>
  <si>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</si>
  <si>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</si>
  <si>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</si>
  <si>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</si>
  <si>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</si>
  <si>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</si>
  <si>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</si>
  <si>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</si>
  <si>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</si>
  <si>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</si>
  <si>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</si>
  <si>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</si>
  <si>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</si>
  <si>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</si>
  <si>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</si>
  <si>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</si>
  <si>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</si>
  <si>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</si>
  <si>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</si>
  <si>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</si>
  <si>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</si>
  <si>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</si>
  <si>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</si>
  <si>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</si>
  <si>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</si>
  <si>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</si>
  <si>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</si>
  <si>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</si>
  <si>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</si>
  <si>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</si>
  <si>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</si>
  <si>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</si>
  <si>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</si>
  <si>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</si>
  <si>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</si>
  <si>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</si>
  <si>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</si>
  <si>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</si>
  <si>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</si>
  <si>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</si>
  <si>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</si>
  <si>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</si>
  <si>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</si>
  <si>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</si>
  <si>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</si>
  <si>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</si>
  <si>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</si>
  <si>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</si>
  <si>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</si>
  <si>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</si>
  <si>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</si>
  <si>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</si>
  <si>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</si>
  <si>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</si>
  <si>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</si>
  <si>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</si>
  <si>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</si>
  <si>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</si>
  <si>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</si>
  <si>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</si>
  <si>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</si>
  <si>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</si>
  <si>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</si>
  <si>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</si>
  <si>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</si>
  <si>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</si>
  <si>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</si>
  <si>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</si>
  <si>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</si>
  <si>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</si>
  <si>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</si>
  <si>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</si>
  <si>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</si>
  <si>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</si>
  <si>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</si>
  <si>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</si>
  <si>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</si>
  <si>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</si>
  <si>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</si>
  <si>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</si>
  <si>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</si>
  <si>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</si>
  <si>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</si>
  <si>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</si>
  <si>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</si>
  <si>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</si>
  <si>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</si>
  <si>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</si>
  <si>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</si>
  <si>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</si>
  <si>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</si>
  <si>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</si>
  <si>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</si>
  <si>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</si>
  <si>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</si>
  <si>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</si>
  <si>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</si>
  <si>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</si>
  <si>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</si>
  <si>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</si>
  <si>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</si>
  <si>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</si>
  <si>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</si>
  <si>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</si>
  <si>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</si>
  <si>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</si>
  <si>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</si>
  <si>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</si>
  <si>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</si>
  <si>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</si>
  <si>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</si>
  <si>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</si>
  <si>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</si>
  <si>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</si>
  <si>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</si>
  <si>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</si>
  <si>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</si>
  <si>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</si>
  <si>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</si>
  <si>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</si>
  <si>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</si>
  <si>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</si>
  <si>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</si>
  <si>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</si>
  <si>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</si>
  <si>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</si>
  <si>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</si>
  <si>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</si>
  <si>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</si>
  <si>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</si>
  <si>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</si>
  <si>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</si>
  <si>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</si>
  <si>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</si>
  <si>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</si>
  <si>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</si>
  <si>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</si>
  <si>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</si>
  <si>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</si>
  <si>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</si>
  <si>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</si>
  <si>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</si>
  <si>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</si>
  <si>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</si>
  <si>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</si>
  <si>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</si>
  <si>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</si>
  <si>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</si>
  <si>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</si>
  <si>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</si>
  <si>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</si>
  <si>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</si>
  <si>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</si>
  <si>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</si>
  <si>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</si>
  <si>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</si>
  <si>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</si>
  <si>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</si>
  <si>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</si>
  <si>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</si>
  <si>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</si>
  <si>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</si>
  <si>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</si>
  <si>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</si>
  <si>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</si>
  <si>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</si>
  <si>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</si>
  <si>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</si>
  <si>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</si>
  <si>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</si>
  <si>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</si>
  <si>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</si>
  <si>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</si>
  <si>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</si>
  <si>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</si>
  <si>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</si>
  <si>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</si>
  <si>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</si>
  <si>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</si>
  <si>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</si>
  <si>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</si>
  <si>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</si>
  <si>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</si>
  <si>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</si>
  <si>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</si>
  <si>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</si>
  <si>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</si>
  <si>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</si>
  <si>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</si>
  <si>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</si>
  <si>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</si>
  <si>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</si>
  <si>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</si>
  <si>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</si>
  <si>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</si>
  <si>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</si>
  <si>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</si>
  <si>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</si>
  <si>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</si>
  <si>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</si>
  <si>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</si>
  <si>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</si>
  <si>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</si>
  <si>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</si>
  <si>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</si>
  <si>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</si>
  <si>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</si>
  <si>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</si>
  <si>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</si>
  <si>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</si>
  <si>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</si>
  <si>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</si>
  <si>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</si>
  <si>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</si>
  <si>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</si>
  <si>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</si>
  <si>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</si>
  <si>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</si>
  <si>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</si>
  <si>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</si>
  <si>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</si>
  <si>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</si>
  <si>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</si>
  <si>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</si>
  <si>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</si>
  <si>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</si>
  <si>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</si>
  <si>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</si>
  <si>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</si>
  <si>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</si>
  <si>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</si>
  <si>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</si>
  <si>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</si>
  <si>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</si>
  <si>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</si>
  <si>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</si>
  <si>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</si>
  <si>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</si>
  <si>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</si>
  <si>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</si>
  <si>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</si>
  <si>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</si>
  <si>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</si>
  <si>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</si>
  <si>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</si>
  <si>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</si>
  <si>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</si>
  <si>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</si>
  <si>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</si>
  <si>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</si>
  <si>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</si>
  <si>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</si>
  <si>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</si>
  <si>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</si>
  <si>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</si>
  <si>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</si>
  <si>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</si>
  <si>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</si>
  <si>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</si>
  <si>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</si>
  <si>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</si>
  <si>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</si>
  <si>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</si>
  <si>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</si>
  <si>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</si>
  <si>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</si>
  <si>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</si>
  <si>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</si>
  <si>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</si>
  <si>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</si>
  <si>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</si>
  <si>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</si>
  <si>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</si>
  <si>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</si>
  <si>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</si>
  <si>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</si>
  <si>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</si>
  <si>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</si>
  <si>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</si>
  <si>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</si>
  <si>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</si>
  <si>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</si>
  <si>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</si>
  <si>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</si>
  <si>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</si>
  <si>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</si>
  <si>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</si>
  <si>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</si>
  <si>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</si>
  <si>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</si>
  <si>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</si>
  <si>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</si>
  <si>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</si>
  <si>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</si>
  <si>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</si>
  <si>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</si>
  <si>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</si>
  <si>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</si>
  <si>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</si>
  <si>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</si>
  <si>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</si>
  <si>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</si>
  <si>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</si>
  <si>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</si>
  <si>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</si>
  <si>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</si>
  <si>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</si>
  <si>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</si>
  <si>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</si>
  <si>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</si>
  <si>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</si>
  <si>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</si>
  <si>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</si>
  <si>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</si>
  <si>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</si>
  <si>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</si>
  <si>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</si>
  <si>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</si>
  <si>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</si>
  <si>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</si>
  <si>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</si>
  <si>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</si>
  <si>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</si>
  <si>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</si>
  <si>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</si>
  <si>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</si>
  <si>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</si>
  <si>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</si>
  <si>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</si>
  <si>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</si>
  <si>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</si>
  <si>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</si>
  <si>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</si>
  <si>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</si>
  <si>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</si>
  <si>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</si>
  <si>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</si>
  <si>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</si>
  <si>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</si>
  <si>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</si>
  <si>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</si>
  <si>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</si>
  <si>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</si>
  <si>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</si>
  <si>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</si>
  <si>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</si>
  <si>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</si>
  <si>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</si>
  <si>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</si>
  <si>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</si>
  <si>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</si>
  <si>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</si>
  <si>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</si>
  <si>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</si>
  <si>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</si>
  <si>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</si>
  <si>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</si>
  <si>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</si>
  <si>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</si>
  <si>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</si>
  <si>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</si>
  <si>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</si>
  <si>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</si>
  <si>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</si>
  <si>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</si>
  <si>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</si>
  <si>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</si>
  <si>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</si>
  <si>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</si>
  <si>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</si>
  <si>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</si>
  <si>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</si>
  <si>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</si>
  <si>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</si>
  <si>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</si>
  <si>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</si>
  <si>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</si>
  <si>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</si>
  <si>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</si>
  <si>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</si>
  <si>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</si>
  <si>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</si>
  <si>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</si>
  <si>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</si>
  <si>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</si>
  <si>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</si>
  <si>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</si>
  <si>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</si>
  <si>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</si>
  <si>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</si>
  <si>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</si>
  <si>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</si>
  <si>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</si>
  <si>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</si>
  <si>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</si>
  <si>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</si>
  <si>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</si>
  <si>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</si>
  <si>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</si>
  <si>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</si>
  <si>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</si>
  <si>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</si>
  <si>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</si>
  <si>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</si>
  <si>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</si>
  <si>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</si>
  <si>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</si>
  <si>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</si>
  <si>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</si>
  <si>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</si>
  <si>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</si>
  <si>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</si>
  <si>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</si>
  <si>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</si>
  <si>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</si>
  <si>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</si>
  <si>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</si>
  <si>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</si>
  <si>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</si>
  <si>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</si>
  <si>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</si>
  <si>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</si>
  <si>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</si>
  <si>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</si>
  <si>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</si>
  <si>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</si>
  <si>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</si>
  <si>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</si>
  <si>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</si>
  <si>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</si>
  <si>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</si>
  <si>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</si>
  <si>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</si>
  <si>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</si>
  <si>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</si>
  <si>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</si>
  <si>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</si>
  <si>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</si>
  <si>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</si>
  <si>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</si>
  <si>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</si>
  <si>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</si>
  <si>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</si>
  <si>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</si>
  <si>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</si>
  <si>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</si>
  <si>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</si>
  <si>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</si>
  <si>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</si>
  <si>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</si>
  <si>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</si>
  <si>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</si>
  <si>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</si>
  <si>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</si>
  <si>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</si>
  <si>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</si>
  <si>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</si>
  <si>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</si>
  <si>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</si>
  <si>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</si>
  <si>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</si>
  <si>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</si>
  <si>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</si>
  <si>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</si>
  <si>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</si>
  <si>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</si>
  <si>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</si>
  <si>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</si>
  <si>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</si>
  <si>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</si>
  <si>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</si>
  <si>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</si>
  <si>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</si>
  <si>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</si>
  <si>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</si>
  <si>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</si>
  <si>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</si>
  <si>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</si>
  <si>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</si>
  <si>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</si>
  <si>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</si>
  <si>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</si>
  <si>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</si>
  <si>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</si>
  <si>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</si>
  <si>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</si>
  <si>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</si>
  <si>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</si>
  <si>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</si>
  <si>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</si>
  <si>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</si>
  <si>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</si>
  <si>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</si>
  <si>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</si>
  <si>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</si>
  <si>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</si>
  <si>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</si>
  <si>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</si>
  <si>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</si>
  <si>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</si>
  <si>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</si>
  <si>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</si>
  <si>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</si>
  <si>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</si>
  <si>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</si>
  <si>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</si>
  <si>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</si>
  <si>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</si>
  <si>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</si>
  <si>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</si>
  <si>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</si>
  <si>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</si>
  <si>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</si>
  <si>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</si>
  <si>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</si>
  <si>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</si>
  <si>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</si>
  <si>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</si>
  <si>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</si>
  <si>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</si>
  <si>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</si>
  <si>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</si>
  <si>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</si>
  <si>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</si>
  <si>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</si>
  <si>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</si>
  <si>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</si>
  <si>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</si>
  <si>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</si>
  <si>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</si>
  <si>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</si>
  <si>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</si>
  <si>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</si>
  <si>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</si>
  <si>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</si>
  <si>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</si>
  <si>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</si>
  <si>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</si>
  <si>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</si>
  <si>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</si>
  <si>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</si>
  <si>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</si>
  <si>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</si>
  <si>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</si>
  <si>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</si>
  <si>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</si>
  <si>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</si>
  <si>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</si>
  <si>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</si>
  <si>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</si>
  <si>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</si>
  <si>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</si>
  <si>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</si>
  <si>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</si>
  <si>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</si>
  <si>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</si>
  <si>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</si>
  <si>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</si>
  <si>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</si>
  <si>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</si>
  <si>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</si>
  <si>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</si>
  <si>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</si>
  <si>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</si>
  <si>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</si>
  <si>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</si>
  <si>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</si>
  <si>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</si>
  <si>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</si>
  <si>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</si>
  <si>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</si>
  <si>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</si>
  <si>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</si>
  <si>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</si>
  <si>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</si>
  <si>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</si>
  <si>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</si>
  <si>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</si>
  <si>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</si>
  <si>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</si>
  <si>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</si>
  <si>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</si>
  <si>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</si>
  <si>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</si>
  <si>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</si>
  <si>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</si>
  <si>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</si>
  <si>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</si>
  <si>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</si>
  <si>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</si>
  <si>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</si>
  <si>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</si>
  <si>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</si>
  <si>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</si>
  <si>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</si>
  <si>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</si>
  <si>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</si>
  <si>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</si>
  <si>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</si>
  <si>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</si>
  <si>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</si>
  <si>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</si>
  <si>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</si>
  <si>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</si>
  <si>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</si>
  <si>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</si>
  <si>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</si>
  <si>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</si>
  <si>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</si>
  <si>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</si>
  <si>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</si>
  <si>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</si>
  <si>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</si>
  <si>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</si>
  <si>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</si>
  <si>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</si>
  <si>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</si>
  <si>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</si>
  <si>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</si>
  <si>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</si>
  <si>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</si>
  <si>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</si>
  <si>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</si>
  <si>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</si>
  <si>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</si>
  <si>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</si>
  <si>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</si>
  <si>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</si>
  <si>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</si>
  <si>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</si>
  <si>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</si>
  <si>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</si>
  <si>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</si>
  <si>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</si>
  <si>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</si>
  <si>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</si>
  <si>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</si>
  <si>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</si>
  <si>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</si>
  <si>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</si>
  <si>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</si>
  <si>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</si>
  <si>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</si>
  <si>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</si>
  <si>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</si>
  <si>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</si>
  <si>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</si>
  <si>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</si>
  <si>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</si>
  <si>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</si>
  <si>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</si>
  <si>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</si>
  <si>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</si>
  <si>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</si>
  <si>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</si>
  <si>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</si>
  <si>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</si>
  <si>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</si>
  <si>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</si>
  <si>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</si>
  <si>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</si>
  <si>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</si>
  <si>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</si>
  <si>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</si>
  <si>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</si>
  <si>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</si>
  <si>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</si>
  <si>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</si>
  <si>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</si>
  <si>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</si>
  <si>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</si>
  <si>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</si>
  <si>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</si>
  <si>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</si>
  <si>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</si>
  <si>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</si>
  <si>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</si>
  <si>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</si>
  <si>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</si>
  <si>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</si>
  <si>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</si>
  <si>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</si>
  <si>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</si>
  <si>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</si>
  <si>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</si>
  <si>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</si>
  <si>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</si>
  <si>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</si>
  <si>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</si>
  <si>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</si>
  <si>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</si>
  <si>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</si>
  <si>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</si>
  <si>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</si>
  <si>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</si>
  <si>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</si>
  <si>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</si>
  <si>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</si>
  <si>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</si>
  <si>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</si>
  <si>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</si>
  <si>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</si>
  <si>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</si>
  <si>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</si>
  <si>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</si>
  <si>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</si>
  <si>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</si>
  <si>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</si>
  <si>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</si>
  <si>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</si>
  <si>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</si>
  <si>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</si>
  <si>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</si>
  <si>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</si>
  <si>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</si>
  <si>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</si>
  <si>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</si>
  <si>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</si>
  <si>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</si>
  <si>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</si>
  <si>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</si>
  <si>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</si>
  <si>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</si>
  <si>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</si>
  <si>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</si>
  <si>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</si>
  <si>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</si>
  <si>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</si>
  <si>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</si>
  <si>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</si>
  <si>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</si>
  <si>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</si>
  <si>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</si>
  <si>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</si>
  <si>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</si>
  <si>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</si>
  <si>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</si>
  <si>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</si>
  <si>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</si>
  <si>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</si>
  <si>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</si>
  <si>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</si>
  <si>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</si>
  <si>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</si>
  <si>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</si>
  <si>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</si>
  <si>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</si>
  <si>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</si>
  <si>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</si>
  <si>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</si>
  <si>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</si>
  <si>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</si>
  <si>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</si>
  <si>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</si>
  <si>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</si>
  <si>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</si>
  <si>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</si>
  <si>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</si>
  <si>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</si>
  <si>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</si>
  <si>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</si>
  <si>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</si>
  <si>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</si>
  <si>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</si>
  <si>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</si>
  <si>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</si>
  <si>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</si>
  <si>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</si>
  <si>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</si>
  <si>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</si>
  <si>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</si>
  <si>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</si>
  <si>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</si>
  <si>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</si>
  <si>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</si>
  <si>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</si>
  <si>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</si>
  <si>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</si>
  <si>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</si>
  <si>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</si>
  <si>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</si>
  <si>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</si>
  <si>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</si>
  <si>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</si>
  <si>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</si>
  <si>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</si>
  <si>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</si>
  <si>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</si>
  <si>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</si>
  <si>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</si>
  <si>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</si>
  <si>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</si>
  <si>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</si>
  <si>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</si>
  <si>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</si>
  <si>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</si>
  <si>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</si>
  <si>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</si>
  <si>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</si>
  <si>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</si>
  <si>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</si>
  <si>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</si>
  <si>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</si>
  <si>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</si>
  <si>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</si>
  <si>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</si>
  <si>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</si>
  <si>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</si>
  <si>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</si>
  <si>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</si>
  <si>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</si>
  <si>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</si>
  <si>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</si>
  <si>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</si>
  <si>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</si>
  <si>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</si>
  <si>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</si>
  <si>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</si>
  <si>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</si>
  <si>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</si>
  <si>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</si>
  <si>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</si>
  <si>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</si>
  <si>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</si>
  <si>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</si>
  <si>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</si>
  <si>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</si>
  <si>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</si>
  <si>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</si>
  <si>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</si>
  <si>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</si>
  <si>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</si>
  <si>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</si>
  <si>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</si>
  <si>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</si>
  <si>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</si>
  <si>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</si>
  <si>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</si>
  <si>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</si>
  <si>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</si>
  <si>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</si>
  <si>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</si>
  <si>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</si>
  <si>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</si>
  <si>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</si>
  <si>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</si>
  <si>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</si>
  <si>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</si>
  <si>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</si>
  <si>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</si>
  <si>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</si>
  <si>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</si>
  <si>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</si>
  <si>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</si>
  <si>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</si>
  <si>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</si>
  <si>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</si>
  <si>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</si>
  <si>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</si>
  <si>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</si>
  <si>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</si>
  <si>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</si>
  <si>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</si>
  <si>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</si>
  <si>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</si>
  <si>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</si>
  <si>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</si>
  <si>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</si>
  <si>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</si>
  <si>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</si>
  <si>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</si>
  <si>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</si>
  <si>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</si>
  <si>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</si>
  <si>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</si>
  <si>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</si>
  <si>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</si>
  <si>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</si>
  <si>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</si>
  <si>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</si>
  <si>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</si>
  <si>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</si>
  <si>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</si>
  <si>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</si>
  <si>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</si>
  <si>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</si>
  <si>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</si>
  <si>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</si>
  <si>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</si>
  <si>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</si>
  <si>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</si>
  <si>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</si>
  <si>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</si>
  <si>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</si>
  <si>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</si>
  <si>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</si>
  <si>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</si>
  <si>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</si>
  <si>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</si>
  <si>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</si>
  <si>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</si>
  <si>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</si>
  <si>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</si>
  <si>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</si>
  <si>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</si>
  <si>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</si>
  <si>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</si>
  <si>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</si>
  <si>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</si>
  <si>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</si>
  <si>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</si>
  <si>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</si>
  <si>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</si>
  <si>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</si>
  <si>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</si>
  <si>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</si>
  <si>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</si>
  <si>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</si>
  <si>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</si>
  <si>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</si>
  <si>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</si>
  <si>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</si>
  <si>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</si>
  <si>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</si>
  <si>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</si>
  <si>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</si>
  <si>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</si>
  <si>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</si>
  <si>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</si>
  <si>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</si>
  <si>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</si>
  <si>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</si>
  <si>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</si>
  <si>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</si>
  <si>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</si>
  <si>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</si>
  <si>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</si>
  <si>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</si>
  <si>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</si>
  <si>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</si>
  <si>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</si>
  <si>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</si>
  <si>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</si>
  <si>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</si>
  <si>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</si>
  <si>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</si>
  <si>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</si>
  <si>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</si>
  <si>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</si>
  <si>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</si>
  <si>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</si>
  <si>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</si>
  <si>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</si>
  <si>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</si>
  <si>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</si>
  <si>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</si>
  <si>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</si>
  <si>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</si>
  <si>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</si>
  <si>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</si>
  <si>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</si>
  <si>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</si>
  <si>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</si>
  <si>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</si>
  <si>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</si>
  <si>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</si>
  <si>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</si>
  <si>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</si>
  <si>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</si>
  <si>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</si>
  <si>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</si>
  <si>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</si>
  <si>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</si>
  <si>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</si>
  <si>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</si>
  <si>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</si>
  <si>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</si>
  <si>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</si>
  <si>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</si>
  <si>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</si>
  <si>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</si>
  <si>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</si>
  <si>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</si>
  <si>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</si>
  <si>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</si>
  <si>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</si>
  <si>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</si>
  <si>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</si>
  <si>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</si>
  <si>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</si>
  <si>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</si>
  <si>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</si>
  <si>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</si>
  <si>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</si>
  <si>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</si>
  <si>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</si>
  <si>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</si>
  <si>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</si>
  <si>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</si>
  <si>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</si>
  <si>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</si>
  <si>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</si>
  <si>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</si>
  <si>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</si>
  <si>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</si>
  <si>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</si>
  <si>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</si>
  <si>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</si>
  <si>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</si>
  <si>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</si>
  <si>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</si>
  <si>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</si>
  <si>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</si>
  <si>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</si>
  <si>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</si>
  <si>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</si>
  <si>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</si>
  <si>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</si>
  <si>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</si>
  <si>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</si>
  <si>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</si>
  <si>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</si>
  <si>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</si>
  <si>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</si>
  <si>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</si>
  <si>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</si>
  <si>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</si>
  <si>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</si>
  <si>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</si>
  <si>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</si>
  <si>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</si>
  <si>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</si>
  <si>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</si>
  <si>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</si>
  <si>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</si>
  <si>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</si>
  <si>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</si>
  <si>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</si>
  <si>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</si>
  <si>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</si>
  <si>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</si>
  <si>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</si>
  <si>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</si>
  <si>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</si>
  <si>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</si>
  <si>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</si>
  <si>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</si>
  <si>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</si>
  <si>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</si>
  <si>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</si>
  <si>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</si>
  <si>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</si>
  <si>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</si>
  <si>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</si>
  <si>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</si>
  <si>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</si>
  <si>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</si>
  <si>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</si>
  <si>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</si>
  <si>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</si>
  <si>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</si>
  <si>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</si>
  <si>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</si>
  <si>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</si>
  <si>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</si>
  <si>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</si>
  <si>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</si>
  <si>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</si>
  <si>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</si>
  <si>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</si>
  <si>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</si>
  <si>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</si>
  <si>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</si>
  <si>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</si>
  <si>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</si>
  <si>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</si>
  <si>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</si>
  <si>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</si>
  <si>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</si>
  <si>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</si>
  <si>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</si>
  <si>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</si>
  <si>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</si>
  <si>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</si>
  <si>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</si>
  <si>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</si>
  <si>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</si>
  <si>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</si>
  <si>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</si>
  <si>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</si>
  <si>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</si>
  <si>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</si>
  <si>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</si>
  <si>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</si>
  <si>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</si>
  <si>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</si>
  <si>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</si>
  <si>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</si>
  <si>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</si>
  <si>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</si>
  <si>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</si>
  <si>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</si>
  <si>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</si>
  <si>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</si>
  <si>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</si>
  <si>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</si>
  <si>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</si>
  <si>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</si>
  <si>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</si>
  <si>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</si>
  <si>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</si>
  <si>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</si>
  <si>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</si>
  <si>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</si>
  <si>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</si>
  <si>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</si>
  <si>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</si>
  <si>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</si>
  <si>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</si>
  <si>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</si>
  <si>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</si>
  <si>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</si>
  <si>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</si>
  <si>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</si>
  <si>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</si>
  <si>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</si>
  <si>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</si>
  <si>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</si>
  <si>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</si>
  <si>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</si>
  <si>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</si>
  <si>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</si>
  <si>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</si>
  <si>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</si>
  <si>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</si>
  <si>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</si>
  <si>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</si>
  <si>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</si>
  <si>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</si>
  <si>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</si>
  <si>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</si>
  <si>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</si>
  <si>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</si>
  <si>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</si>
  <si>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</si>
  <si>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</si>
  <si>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</si>
  <si>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</si>
  <si>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</si>
  <si>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</si>
  <si>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</si>
  <si>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</si>
  <si>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</si>
  <si>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</si>
  <si>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</si>
  <si>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</si>
  <si>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</si>
  <si>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</si>
  <si>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</si>
  <si>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</si>
  <si>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</si>
  <si>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</si>
  <si>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</si>
  <si>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</si>
  <si>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</si>
  <si>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</si>
  <si>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</si>
  <si>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</si>
  <si>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</si>
  <si>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</si>
  <si>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</si>
  <si>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</si>
  <si>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</si>
  <si>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</si>
  <si>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</si>
  <si>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</si>
  <si>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</si>
  <si>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</si>
  <si>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</si>
  <si>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</si>
  <si>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</si>
  <si>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</si>
  <si>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</si>
  <si>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</si>
  <si>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</si>
  <si>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</si>
  <si>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</si>
  <si>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</si>
  <si>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</si>
  <si>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</si>
  <si>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</si>
  <si>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</si>
  <si>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</si>
  <si>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</si>
  <si>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</si>
  <si>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</si>
  <si>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</si>
  <si>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</si>
  <si>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</si>
  <si>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</si>
  <si>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</si>
  <si>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</si>
  <si>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</si>
  <si>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</si>
  <si>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</si>
  <si>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</si>
  <si>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</si>
  <si>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</si>
  <si>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</si>
  <si>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</si>
  <si>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</si>
  <si>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</si>
  <si>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</si>
  <si>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</si>
  <si>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</si>
  <si>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</si>
  <si>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</si>
  <si>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</si>
  <si>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</si>
  <si>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</si>
  <si>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</si>
  <si>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</si>
  <si>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</si>
  <si>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</si>
  <si>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</si>
  <si>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</si>
  <si>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</si>
  <si>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</si>
  <si>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</si>
  <si>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</si>
  <si>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</si>
  <si>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</si>
  <si>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</si>
  <si>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</si>
  <si>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</si>
  <si>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</si>
  <si>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</si>
  <si>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</si>
  <si>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</si>
  <si>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</si>
  <si>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</si>
  <si>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</si>
  <si>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</si>
  <si>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</si>
  <si>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</si>
  <si>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</si>
  <si>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</si>
  <si>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</si>
  <si>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</si>
  <si>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</si>
  <si>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</si>
  <si>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</si>
  <si>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</si>
  <si>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</si>
  <si>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</si>
  <si>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</si>
  <si>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</si>
  <si>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</si>
  <si>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</si>
  <si>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</si>
  <si>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</si>
  <si>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</si>
  <si>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</si>
  <si>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</si>
  <si>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</si>
  <si>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</si>
  <si>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</si>
  <si>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</si>
  <si>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</si>
  <si>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</si>
  <si>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</si>
  <si>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</si>
  <si>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</si>
  <si>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</si>
  <si>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</si>
  <si>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</si>
  <si>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</si>
  <si>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</si>
  <si>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</si>
  <si>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</si>
  <si>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</si>
  <si>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</si>
  <si>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</si>
  <si>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</si>
  <si>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</si>
  <si>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</si>
  <si>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</si>
  <si>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</si>
  <si>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</si>
  <si>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</si>
  <si>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</si>
  <si>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</si>
  <si>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</si>
  <si>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</si>
  <si>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</si>
  <si>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</si>
  <si>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</si>
  <si>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</si>
  <si>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</si>
  <si>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</si>
  <si>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</si>
  <si>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</si>
  <si>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</si>
  <si>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</si>
  <si>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</si>
  <si>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</si>
  <si>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</si>
  <si>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</si>
  <si>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</si>
  <si>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</si>
  <si>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</si>
  <si>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</si>
  <si>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</si>
  <si>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</si>
  <si>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</si>
  <si>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</si>
  <si>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</si>
  <si>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</si>
  <si>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</si>
  <si>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</si>
  <si>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</si>
  <si>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</si>
  <si>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</si>
  <si>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</si>
  <si>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</si>
  <si>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</si>
  <si>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</si>
  <si>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</si>
  <si>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</si>
  <si>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</si>
  <si>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</si>
  <si>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</si>
  <si>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</si>
  <si>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</si>
  <si>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</si>
  <si>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</si>
  <si>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</si>
  <si>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</si>
  <si>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</si>
  <si>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</si>
  <si>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</si>
  <si>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</si>
  <si>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</si>
  <si>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</si>
  <si>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</si>
  <si>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</si>
  <si>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</si>
  <si>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</si>
  <si>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</si>
  <si>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</si>
  <si>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</si>
  <si>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</si>
  <si>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</si>
  <si>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</si>
  <si>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</si>
  <si>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</si>
  <si>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</si>
  <si>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</si>
  <si>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</si>
  <si>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</si>
  <si>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</si>
  <si>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</si>
  <si>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</si>
  <si>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</si>
  <si>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</si>
  <si>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</si>
  <si>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</si>
  <si>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</si>
  <si>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</si>
  <si>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</si>
  <si>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</si>
  <si>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</si>
  <si>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</si>
  <si>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</si>
  <si>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</si>
  <si>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</si>
  <si>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</si>
  <si>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</si>
  <si>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</si>
  <si>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</si>
  <si>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</si>
  <si>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</si>
  <si>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</si>
  <si>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</si>
  <si>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</si>
  <si>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</si>
  <si>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</si>
  <si>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</si>
  <si>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</si>
  <si>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</si>
  <si>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</si>
  <si>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</si>
  <si>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</si>
  <si>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</si>
  <si>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</si>
  <si>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</si>
  <si>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</si>
  <si>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</si>
  <si>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</si>
  <si>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</si>
  <si>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</si>
  <si>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</si>
  <si>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</si>
  <si>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</si>
  <si>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</si>
  <si>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</si>
  <si>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</si>
  <si>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</si>
  <si>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</si>
  <si>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</si>
  <si>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</si>
  <si>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</si>
  <si>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</si>
  <si>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</si>
  <si>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</si>
  <si>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</si>
  <si>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</si>
  <si>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</si>
  <si>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</si>
  <si>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</si>
  <si>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</si>
  <si>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</si>
  <si>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</si>
  <si>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</si>
  <si>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</si>
  <si>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</si>
  <si>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</si>
  <si>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</si>
  <si>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</si>
  <si>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</si>
  <si>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</si>
  <si>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</si>
  <si>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</si>
  <si>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</si>
  <si>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</si>
  <si>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</si>
  <si>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</si>
  <si>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</si>
  <si>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</si>
  <si>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</si>
  <si>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</si>
  <si>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</si>
  <si>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</si>
  <si>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</si>
  <si>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</si>
  <si>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</si>
  <si>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</si>
  <si>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</si>
  <si>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</si>
  <si>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</si>
  <si>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</si>
  <si>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</si>
  <si>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</si>
  <si>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</si>
  <si>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</si>
  <si>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</si>
  <si>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</si>
  <si>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</si>
  <si>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</si>
  <si>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</si>
  <si>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</si>
  <si>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</si>
  <si>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</si>
  <si>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</si>
  <si>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</si>
  <si>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</si>
  <si>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</si>
  <si>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</si>
  <si>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</si>
  <si>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</si>
  <si>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</si>
  <si>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</si>
  <si>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</si>
  <si>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</si>
  <si>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</si>
  <si>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</si>
  <si>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</si>
  <si>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</si>
  <si>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</si>
  <si>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</si>
  <si>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</si>
  <si>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</si>
  <si>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</si>
  <si>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</si>
  <si>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</si>
  <si>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</si>
  <si>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</si>
  <si>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</si>
  <si>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</si>
  <si>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</si>
  <si>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</si>
  <si>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</si>
  <si>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</si>
  <si>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</si>
  <si>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</si>
  <si>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</si>
  <si>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</si>
  <si>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</si>
  <si>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</si>
  <si>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</si>
  <si>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</si>
  <si>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</si>
  <si>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</si>
  <si>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</si>
  <si>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</si>
  <si>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</si>
  <si>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</si>
  <si>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</si>
  <si>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</si>
  <si>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</si>
  <si>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</si>
  <si>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</si>
  <si>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</si>
  <si>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</si>
  <si>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</si>
  <si>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</si>
  <si>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</si>
  <si>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</si>
  <si>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</si>
  <si>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</si>
  <si>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</si>
  <si>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</si>
  <si>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</si>
  <si>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</si>
  <si>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</si>
  <si>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</si>
  <si>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</si>
  <si>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</si>
  <si>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</si>
  <si>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</si>
  <si>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</si>
  <si>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</si>
  <si>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</si>
  <si>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</si>
  <si>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</si>
  <si>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</si>
  <si>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</si>
  <si>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</si>
  <si>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</si>
  <si>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</si>
  <si>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</si>
  <si>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</si>
  <si>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</si>
  <si>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</si>
  <si>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</si>
  <si>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</si>
  <si>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</si>
  <si>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</si>
  <si>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</si>
  <si>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</si>
  <si>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</si>
  <si>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</si>
  <si>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</si>
  <si>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</si>
  <si>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</si>
  <si>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</si>
  <si>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</si>
  <si>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</si>
  <si>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</si>
  <si>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</si>
  <si>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</si>
  <si>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</si>
  <si>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</si>
  <si>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</si>
  <si>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</si>
  <si>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</si>
  <si>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</si>
  <si>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</si>
  <si>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</si>
  <si>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</si>
  <si>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</si>
  <si>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</si>
  <si>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</si>
  <si>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</si>
  <si>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</si>
  <si>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</si>
  <si>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</si>
  <si>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</si>
  <si>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</si>
  <si>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</si>
  <si>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</si>
  <si>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</si>
  <si>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</si>
  <si>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</si>
  <si>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</si>
  <si>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</si>
  <si>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</si>
  <si>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</si>
  <si>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</si>
  <si>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</si>
  <si>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</si>
  <si>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</si>
  <si>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</si>
  <si>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</si>
  <si>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</si>
  <si>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</si>
  <si>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</si>
  <si>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</si>
  <si>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</si>
  <si>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</si>
  <si>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</si>
  <si>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</si>
  <si>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</si>
  <si>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</si>
  <si>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</si>
  <si>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</si>
  <si>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</si>
  <si>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</si>
  <si>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</si>
  <si>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</si>
  <si>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</si>
  <si>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</si>
  <si>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</si>
  <si>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</si>
  <si>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</si>
  <si>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</si>
  <si>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</si>
  <si>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</si>
  <si>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</si>
  <si>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</si>
  <si>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</si>
  <si>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</si>
  <si>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</si>
  <si>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</si>
  <si>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</si>
  <si>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</si>
  <si>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</si>
  <si>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</si>
  <si>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</si>
  <si>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</si>
  <si>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</si>
  <si>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</si>
  <si>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</si>
  <si>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</si>
  <si>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</si>
  <si>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</si>
  <si>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</si>
  <si>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</si>
  <si>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</si>
  <si>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</si>
  <si>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</si>
  <si>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</si>
  <si>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</si>
  <si>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</si>
  <si>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</si>
  <si>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</si>
  <si>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</si>
  <si>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</si>
  <si>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</si>
  <si>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</si>
  <si>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</si>
  <si>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</si>
  <si>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</si>
  <si>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</si>
  <si>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</si>
  <si>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</si>
  <si>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</si>
  <si>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</si>
  <si>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</si>
  <si>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</si>
  <si>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</si>
  <si>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</si>
  <si>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</si>
  <si>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</si>
  <si>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</si>
  <si>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</si>
  <si>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</si>
  <si>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</si>
  <si>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</si>
  <si>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</si>
  <si>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</si>
  <si>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</si>
  <si>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</si>
  <si>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</si>
  <si>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</si>
  <si>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</si>
  <si>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</si>
  <si>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</si>
  <si>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</si>
  <si>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</si>
  <si>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</si>
  <si>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</si>
  <si>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</si>
  <si>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</si>
  <si>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</si>
  <si>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</si>
  <si>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</si>
  <si>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</si>
  <si>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</si>
  <si>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</si>
  <si>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</si>
  <si>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</si>
  <si>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</si>
  <si>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</si>
  <si>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</si>
  <si>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</si>
  <si>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</si>
  <si>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</si>
  <si>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</si>
  <si>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</si>
  <si>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</si>
  <si>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</si>
  <si>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</si>
  <si>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</si>
  <si>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</si>
  <si>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</si>
  <si>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</si>
  <si>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</si>
  <si>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</si>
  <si>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</si>
  <si>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</si>
  <si>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</si>
  <si>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</si>
  <si>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</si>
  <si>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</si>
  <si>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</si>
  <si>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</si>
  <si>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</si>
  <si>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</si>
  <si>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</si>
  <si>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</si>
  <si>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</si>
  <si>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</si>
  <si>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</si>
  <si>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</si>
  <si>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</si>
  <si>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</si>
  <si>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</si>
  <si>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</si>
  <si>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</si>
  <si>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</si>
  <si>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</si>
  <si>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</si>
  <si>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</si>
  <si>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</si>
  <si>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</si>
  <si>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</si>
  <si>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</si>
  <si>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</si>
  <si>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</si>
  <si>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</si>
  <si>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</si>
  <si>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</si>
  <si>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</si>
  <si>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</si>
  <si>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</si>
  <si>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</si>
  <si>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</si>
  <si>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</si>
  <si>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</si>
  <si>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</si>
  <si>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</si>
  <si>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</si>
  <si>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</si>
  <si>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</si>
  <si>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</si>
  <si>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</si>
  <si>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</si>
  <si>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</si>
  <si>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</si>
  <si>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</si>
  <si>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</si>
  <si>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</si>
  <si>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</si>
  <si>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</si>
  <si>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</si>
  <si>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</si>
  <si>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</si>
  <si>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</si>
  <si>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</si>
  <si>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</si>
  <si>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</si>
  <si>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</si>
  <si>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</si>
  <si>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</si>
  <si>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</si>
  <si>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</si>
  <si>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</si>
  <si>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</si>
  <si>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</si>
  <si>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</si>
  <si>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</si>
  <si>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</si>
  <si>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</si>
  <si>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</si>
  <si>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</si>
  <si>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</si>
  <si>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</si>
  <si>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</si>
  <si>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</si>
  <si>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</si>
  <si>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</si>
  <si>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</si>
  <si>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</si>
  <si>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</si>
  <si>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</si>
  <si>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</si>
  <si>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</si>
  <si>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</si>
  <si>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</si>
  <si>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</si>
  <si>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</si>
  <si>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</si>
  <si>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</si>
  <si>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</si>
  <si>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</si>
  <si>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</si>
  <si>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</si>
  <si>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</si>
  <si>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</si>
  <si>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</si>
  <si>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</si>
  <si>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</si>
  <si>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</si>
  <si>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</si>
  <si>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</si>
  <si>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</si>
  <si>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</si>
  <si>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</si>
  <si>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</si>
  <si>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</si>
  <si>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</si>
  <si>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</si>
  <si>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</si>
  <si>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</si>
  <si>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</si>
  <si>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</si>
  <si>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</si>
  <si>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</si>
  <si>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</si>
  <si>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</si>
  <si>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</si>
  <si>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</si>
  <si>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</si>
  <si>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</si>
  <si>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</si>
  <si>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</si>
  <si>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</si>
  <si>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</si>
  <si>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</si>
  <si>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</si>
  <si>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</si>
  <si>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</si>
  <si>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</si>
  <si>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</si>
  <si>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</si>
  <si>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</si>
  <si>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</si>
  <si>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</si>
  <si>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</si>
  <si>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</si>
  <si>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</si>
  <si>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</si>
  <si>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</si>
  <si>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</si>
  <si>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</si>
  <si>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</si>
  <si>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</si>
  <si>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</si>
  <si>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</si>
  <si>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</si>
  <si>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</si>
  <si>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</si>
  <si>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</si>
  <si>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</si>
  <si>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</si>
  <si>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</si>
  <si>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</si>
  <si>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</si>
  <si>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</si>
  <si>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</si>
  <si>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</si>
  <si>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</si>
  <si>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</si>
  <si>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</si>
  <si>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</si>
  <si>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</si>
  <si>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</si>
  <si>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</si>
  <si>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</si>
  <si>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</si>
  <si>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</si>
  <si>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</si>
  <si>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</si>
  <si>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</si>
  <si>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</si>
  <si>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</si>
  <si>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</si>
  <si>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</si>
  <si>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</si>
  <si>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</si>
  <si>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</si>
  <si>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</si>
  <si>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</si>
  <si>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</si>
  <si>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</si>
  <si>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</si>
  <si>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</si>
  <si>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</si>
  <si>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</si>
  <si>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</si>
  <si>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</si>
  <si>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</si>
  <si>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</si>
  <si>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</si>
  <si>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</si>
  <si>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</si>
  <si>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</si>
  <si>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</si>
  <si>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</si>
  <si>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</si>
  <si>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</si>
  <si>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</si>
  <si>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</si>
  <si>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</si>
  <si>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</si>
  <si>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</si>
  <si>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</si>
  <si>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</si>
  <si>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</si>
  <si>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</si>
  <si>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</si>
  <si>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</si>
  <si>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</si>
  <si>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</si>
  <si>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</si>
  <si>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</si>
  <si>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</si>
  <si>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</si>
  <si>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</si>
  <si>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</si>
  <si>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</si>
  <si>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</si>
  <si>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</si>
  <si>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</si>
  <si>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</si>
  <si>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</si>
  <si>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</si>
  <si>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</si>
  <si>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</si>
  <si>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</si>
  <si>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</si>
  <si>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</si>
  <si>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</si>
  <si>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</si>
  <si>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</si>
  <si>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</si>
  <si>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</si>
  <si>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</si>
  <si>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</si>
  <si>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</si>
  <si>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</si>
  <si>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</si>
  <si>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</si>
  <si>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</si>
  <si>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</si>
  <si>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</si>
  <si>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</si>
  <si>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</si>
  <si>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</si>
  <si>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</si>
  <si>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</si>
  <si>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</si>
  <si>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</si>
  <si>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</si>
  <si>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</si>
  <si>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</si>
  <si>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</si>
  <si>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</si>
  <si>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</si>
  <si>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</si>
  <si>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</si>
  <si>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</si>
  <si>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</si>
  <si>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</si>
  <si>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</si>
  <si>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</si>
  <si>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</si>
  <si>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</si>
  <si>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</si>
  <si>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</si>
  <si>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</si>
  <si>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</si>
  <si>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</si>
  <si>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</si>
  <si>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</si>
  <si>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</si>
  <si>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</si>
  <si>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</si>
  <si>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</si>
  <si>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</si>
  <si>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</si>
  <si>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</si>
  <si>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</si>
  <si>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</si>
  <si>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</si>
  <si>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</si>
  <si>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</si>
  <si>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</si>
  <si>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</si>
  <si>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</si>
  <si>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</si>
  <si>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</si>
  <si>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</si>
  <si>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</si>
  <si>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</si>
  <si>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</si>
  <si>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</si>
  <si>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</si>
  <si>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</si>
  <si>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</si>
  <si>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</si>
  <si>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</si>
  <si>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</si>
  <si>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</si>
  <si>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</si>
  <si>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</si>
  <si>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</si>
  <si>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</si>
  <si>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</si>
  <si>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</si>
  <si>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</si>
  <si>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</si>
  <si>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</si>
  <si>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</si>
  <si>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</si>
  <si>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</si>
  <si>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</si>
  <si>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</si>
  <si>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</si>
  <si>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</si>
  <si>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</si>
  <si>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</si>
  <si>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</si>
  <si>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</si>
  <si>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</si>
  <si>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</si>
  <si>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</si>
  <si>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</si>
  <si>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</si>
  <si>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</si>
  <si>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</si>
  <si>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</si>
  <si>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</si>
  <si>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</si>
  <si>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</si>
  <si>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</si>
  <si>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</si>
  <si>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</si>
  <si>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</si>
  <si>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</si>
  <si>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</si>
  <si>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</si>
  <si>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</si>
  <si>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</si>
  <si>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</si>
  <si>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</si>
  <si>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</si>
  <si>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</si>
  <si>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</si>
  <si>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</si>
  <si>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</si>
  <si>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</si>
  <si>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</si>
  <si>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</si>
  <si>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</si>
  <si>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</si>
  <si>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</si>
  <si>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</si>
  <si>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</si>
  <si>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</si>
  <si>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</si>
  <si>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</si>
  <si>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</si>
  <si>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</si>
  <si>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</si>
  <si>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</si>
  <si>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</si>
  <si>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</si>
  <si>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</si>
  <si>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</si>
  <si>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</si>
  <si>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</si>
  <si>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</si>
  <si>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</si>
  <si>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</si>
  <si>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</si>
  <si>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</si>
  <si>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</si>
  <si>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</si>
  <si>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</si>
  <si>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</si>
  <si>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</si>
  <si>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</si>
  <si>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</si>
  <si>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</si>
  <si>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</si>
  <si>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</si>
  <si>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</si>
  <si>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</si>
  <si>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</si>
  <si>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</si>
  <si>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</si>
  <si>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</si>
  <si>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</si>
  <si>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</si>
  <si>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</si>
  <si>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</si>
  <si>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</si>
  <si>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</si>
  <si>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</si>
  <si>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</si>
  <si>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</si>
  <si>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</si>
  <si>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</si>
  <si>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</si>
  <si>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</si>
  <si>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</si>
  <si>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</si>
  <si>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</si>
  <si>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</si>
  <si>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</si>
  <si>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</si>
  <si>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</si>
  <si>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</si>
  <si>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</si>
  <si>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</si>
  <si>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</si>
  <si>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</si>
  <si>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</si>
  <si>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</si>
  <si>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</si>
  <si>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</si>
  <si>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</si>
  <si>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</si>
  <si>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</si>
  <si>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</si>
  <si>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</si>
  <si>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</si>
  <si>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</si>
  <si>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</si>
  <si>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</si>
  <si>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</si>
  <si>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</si>
  <si>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</si>
  <si>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</si>
  <si>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</si>
  <si>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</si>
  <si>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</si>
  <si>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</si>
  <si>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</si>
  <si>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</si>
  <si>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</si>
  <si>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</si>
  <si>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</si>
  <si>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</si>
  <si>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</si>
  <si>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</si>
  <si>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</si>
  <si>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</si>
  <si>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</si>
  <si>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</si>
  <si>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</si>
  <si>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</si>
  <si>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</si>
  <si>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</si>
  <si>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</si>
  <si>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</si>
  <si>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</si>
  <si>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</si>
  <si>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</si>
  <si>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</si>
  <si>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</si>
  <si>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</si>
  <si>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</si>
  <si>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</si>
  <si>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</si>
  <si>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</si>
  <si>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</si>
  <si>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</si>
  <si>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</si>
  <si>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</si>
  <si>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</si>
  <si>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</si>
  <si>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</si>
  <si>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</si>
  <si>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</si>
  <si>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</si>
  <si>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</si>
  <si>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</si>
  <si>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</si>
  <si>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</si>
  <si>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</si>
  <si>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</si>
  <si>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</si>
  <si>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</si>
  <si>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</si>
  <si>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</si>
  <si>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</si>
  <si>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</si>
  <si>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</si>
  <si>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</si>
  <si>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</si>
  <si>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</si>
  <si>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</si>
  <si>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</si>
  <si>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</si>
  <si>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</si>
  <si>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</si>
  <si>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</si>
  <si>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</si>
  <si>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</si>
  <si>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</si>
  <si>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</si>
  <si>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</si>
  <si>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</si>
  <si>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</si>
  <si>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</si>
  <si>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</si>
  <si>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</si>
  <si>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</si>
  <si>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</si>
  <si>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</si>
  <si>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</si>
  <si>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</si>
  <si>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</si>
  <si>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</si>
  <si>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</si>
  <si>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</si>
  <si>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</si>
  <si>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</si>
  <si>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</si>
  <si>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</si>
  <si>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</si>
  <si>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</si>
  <si>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</si>
  <si>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</si>
  <si>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</si>
  <si>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</si>
  <si>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</si>
  <si>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</si>
  <si>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</si>
  <si>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</si>
  <si>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</si>
  <si>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</si>
  <si>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</si>
  <si>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</si>
  <si>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</si>
  <si>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</si>
  <si>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</si>
  <si>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</si>
  <si>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</si>
  <si>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</si>
  <si>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</si>
  <si>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</si>
  <si>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</si>
  <si>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</si>
  <si>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</si>
  <si>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</si>
  <si>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</si>
  <si>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</si>
  <si>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</si>
  <si>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</si>
  <si>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</si>
  <si>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</si>
  <si>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</si>
  <si>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</si>
  <si>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</si>
  <si>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</si>
  <si>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</si>
  <si>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</si>
  <si>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</si>
  <si>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</si>
  <si>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</si>
  <si>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</si>
  <si>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</si>
  <si>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</si>
  <si>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</si>
  <si>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</si>
  <si>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</si>
  <si>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</si>
  <si>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</si>
  <si>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</si>
  <si>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</si>
  <si>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</si>
  <si>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</si>
  <si>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</si>
  <si>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</si>
  <si>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</si>
  <si>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</si>
  <si>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</si>
  <si>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</si>
  <si>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</si>
  <si>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</si>
  <si>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</si>
  <si>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</si>
  <si>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</si>
  <si>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</si>
  <si>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</si>
  <si>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</si>
  <si>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</si>
  <si>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</si>
  <si>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</si>
  <si>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</si>
  <si>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</si>
  <si>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</si>
  <si>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</si>
  <si>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</si>
  <si>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</si>
  <si>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</si>
  <si>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</si>
  <si>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</si>
  <si>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</si>
  <si>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</si>
  <si>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</si>
  <si>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</si>
  <si>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</si>
  <si>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</si>
  <si>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</si>
  <si>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</si>
  <si>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</si>
  <si>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</si>
  <si>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</si>
  <si>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</si>
  <si>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</si>
  <si>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</si>
  <si>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</si>
  <si>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</si>
  <si>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</si>
  <si>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</si>
  <si>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</si>
  <si>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</si>
  <si>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</si>
  <si>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</si>
  <si>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</si>
  <si>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</si>
  <si>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</si>
  <si>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</si>
  <si>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</si>
  <si>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</si>
  <si>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</si>
  <si>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</si>
  <si>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</si>
  <si>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</si>
  <si>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</si>
  <si>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</si>
  <si>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</si>
  <si>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</si>
  <si>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</si>
  <si>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</si>
  <si>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</si>
  <si>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</si>
  <si>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</si>
  <si>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</si>
  <si>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</si>
  <si>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</si>
  <si>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</si>
  <si>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</si>
  <si>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</si>
  <si>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</si>
  <si>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</si>
  <si>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</si>
  <si>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</si>
  <si>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</si>
  <si>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</si>
  <si>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</si>
  <si>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</si>
  <si>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</si>
  <si>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</si>
  <si>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</si>
  <si>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</si>
  <si>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</si>
  <si>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</si>
  <si>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</si>
  <si>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</si>
  <si>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</si>
  <si>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</si>
  <si>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</si>
  <si>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</si>
  <si>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</si>
  <si>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</si>
  <si>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</si>
  <si>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</si>
  <si>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</si>
  <si>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</si>
  <si>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</si>
  <si>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</si>
  <si>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</si>
  <si>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</si>
  <si>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</si>
  <si>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</si>
  <si>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</si>
  <si>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</si>
  <si>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</si>
  <si>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</si>
  <si>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</si>
  <si>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</si>
  <si>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</si>
  <si>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</si>
  <si>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</si>
  <si>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</si>
  <si>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</si>
  <si>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</si>
  <si>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</si>
  <si>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</si>
  <si>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</si>
  <si>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</si>
  <si>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</si>
  <si>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</si>
  <si>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</si>
  <si>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</si>
  <si>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</si>
  <si>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</si>
  <si>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</si>
  <si>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</si>
  <si>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</si>
  <si>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</si>
  <si>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</si>
  <si>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</si>
  <si>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</si>
  <si>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</si>
  <si>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</si>
  <si>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</si>
  <si>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</si>
  <si>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</si>
  <si>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</si>
  <si>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</si>
  <si>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</si>
  <si>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</si>
  <si>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</si>
  <si>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</si>
  <si>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</si>
  <si>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</si>
  <si>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</si>
  <si>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</si>
  <si>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</si>
  <si>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</si>
  <si>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</si>
  <si>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</si>
  <si>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</si>
  <si>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</si>
  <si>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</si>
  <si>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</si>
  <si>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</si>
  <si>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</si>
  <si>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</si>
  <si>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</si>
  <si>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</si>
  <si>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</si>
  <si>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</si>
  <si>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</si>
  <si>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</si>
  <si>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</si>
  <si>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</si>
  <si>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</si>
  <si>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</si>
  <si>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</si>
  <si>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</si>
  <si>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</si>
  <si>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</si>
  <si>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</si>
  <si>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</si>
  <si>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</si>
  <si>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</si>
  <si>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</si>
  <si>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</si>
  <si>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</si>
  <si>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</si>
  <si>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</si>
  <si>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</si>
  <si>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</si>
  <si>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</si>
  <si>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</si>
  <si>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</si>
  <si>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</si>
  <si>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</si>
  <si>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</si>
  <si>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</si>
  <si>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</si>
  <si>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</si>
  <si>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</si>
  <si>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</si>
  <si>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</si>
  <si>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</si>
  <si>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</si>
  <si>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</si>
  <si>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</si>
  <si>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</si>
  <si>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</si>
  <si>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</si>
  <si>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</si>
  <si>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</si>
  <si>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</si>
  <si>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</si>
  <si>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</si>
  <si>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</si>
  <si>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</si>
  <si>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</si>
  <si>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</si>
  <si>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</si>
  <si>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</si>
  <si>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</si>
  <si>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</si>
  <si>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</si>
  <si>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</si>
  <si>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</si>
  <si>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</si>
  <si>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</si>
  <si>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</si>
  <si>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</si>
  <si>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</si>
  <si>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</si>
  <si>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</si>
  <si>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</si>
  <si>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</si>
  <si>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</si>
  <si>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</si>
  <si>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</si>
  <si>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</si>
  <si>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</si>
  <si>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</si>
  <si>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</si>
  <si>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</si>
  <si>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</si>
  <si>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</si>
  <si>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</si>
  <si>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</si>
  <si>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</si>
  <si>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</si>
  <si>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</si>
  <si>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</si>
  <si>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</si>
  <si>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</si>
  <si>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</si>
  <si>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</si>
  <si>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</si>
  <si>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</si>
  <si>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</si>
  <si>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</si>
  <si>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</si>
  <si>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</si>
  <si>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</si>
  <si>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</si>
  <si>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</si>
  <si>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</si>
  <si>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</si>
  <si>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</si>
  <si>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</si>
  <si>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</si>
  <si>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</si>
  <si>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</si>
  <si>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</si>
  <si>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</si>
  <si>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</si>
  <si>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</si>
  <si>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</si>
  <si>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</si>
  <si>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</si>
  <si>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</si>
  <si>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</si>
  <si>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</si>
  <si>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</si>
  <si>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</si>
  <si>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</si>
  <si>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</si>
  <si>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</si>
  <si>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</si>
  <si>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</si>
  <si>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</si>
  <si>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</si>
  <si>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</si>
  <si>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</si>
  <si>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</si>
  <si>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</si>
  <si>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</si>
  <si>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</si>
  <si>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</si>
  <si>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</si>
  <si>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</si>
  <si>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</si>
  <si>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</si>
  <si>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</si>
  <si>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</si>
  <si>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</si>
  <si>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</si>
  <si>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</si>
  <si>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</si>
  <si>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</si>
  <si>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</si>
  <si>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</si>
  <si>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</si>
  <si>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</si>
  <si>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</si>
  <si>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</si>
  <si>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</si>
  <si>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</si>
  <si>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</si>
  <si>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</si>
  <si>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</si>
  <si>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</si>
  <si>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</si>
  <si>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</si>
  <si>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</si>
  <si>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</si>
  <si>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</si>
  <si>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</si>
  <si>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</si>
  <si>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</si>
  <si>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</si>
  <si>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</si>
  <si>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</si>
  <si>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</si>
  <si>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</si>
  <si>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</si>
  <si>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</si>
  <si>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</si>
  <si>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</si>
  <si>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</si>
  <si>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</si>
  <si>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</si>
  <si>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</si>
  <si>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</si>
  <si>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</si>
  <si>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</si>
  <si>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</si>
  <si>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</si>
  <si>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</si>
  <si>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</si>
  <si>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</si>
  <si>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</si>
  <si>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</si>
  <si>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</si>
  <si>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</si>
  <si>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</si>
  <si>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</si>
  <si>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</si>
  <si>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</si>
  <si>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</si>
  <si>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</si>
  <si>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</si>
  <si>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</si>
  <si>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</si>
  <si>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</si>
  <si>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</si>
  <si>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</si>
  <si>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</si>
  <si>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</si>
  <si>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</si>
  <si>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</si>
  <si>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</si>
  <si>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</si>
  <si>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</si>
  <si>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</si>
  <si>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</si>
  <si>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</si>
  <si>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</si>
  <si>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</si>
  <si>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</si>
  <si>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</si>
  <si>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</si>
  <si>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</si>
  <si>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</si>
  <si>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</si>
  <si>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</si>
  <si>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</si>
  <si>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</si>
  <si>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</si>
  <si>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</si>
  <si>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</si>
  <si>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</si>
  <si>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</si>
  <si>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</si>
  <si>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</si>
  <si>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</si>
  <si>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</si>
  <si>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</si>
  <si>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</si>
  <si>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</si>
  <si>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</si>
  <si>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</si>
  <si>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</si>
  <si>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</si>
  <si>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</si>
  <si>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</si>
  <si>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</si>
  <si>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</si>
  <si>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</si>
  <si>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</si>
  <si>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</si>
  <si>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</si>
  <si>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</si>
  <si>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</si>
  <si>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</si>
  <si>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</si>
  <si>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</si>
  <si>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</si>
  <si>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</si>
  <si>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</si>
  <si>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</si>
  <si>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</si>
  <si>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</si>
  <si>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</si>
  <si>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</si>
  <si>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</si>
  <si>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</si>
  <si>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</si>
  <si>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</si>
  <si>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</si>
  <si>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</si>
  <si>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</si>
  <si>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</si>
  <si>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</si>
  <si>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</si>
  <si>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</si>
  <si>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</si>
  <si>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</si>
  <si>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</si>
  <si>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</si>
  <si>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</si>
  <si>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</si>
  <si>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</si>
  <si>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</si>
  <si>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</si>
  <si>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</si>
  <si>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</si>
  <si>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</si>
  <si>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</si>
  <si>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</si>
  <si>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</si>
  <si>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</si>
  <si>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</si>
  <si>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</si>
  <si>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</si>
  <si>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</si>
  <si>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</si>
  <si>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</si>
  <si>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</si>
  <si>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</si>
  <si>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</si>
  <si>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</si>
  <si>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</si>
  <si>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</si>
  <si>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</si>
  <si>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</si>
  <si>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</si>
  <si>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</si>
  <si>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</si>
  <si>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</si>
  <si>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</si>
  <si>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</si>
  <si>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</si>
  <si>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</si>
  <si>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</si>
  <si>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</si>
  <si>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</si>
  <si>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</si>
  <si>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</si>
  <si>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</si>
  <si>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</si>
  <si>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</si>
  <si>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</si>
  <si>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</si>
  <si>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</si>
  <si>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</si>
  <si>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</si>
  <si>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</si>
  <si>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</si>
  <si>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</si>
  <si>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</si>
  <si>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</si>
  <si>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</si>
  <si>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</si>
  <si>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</si>
  <si>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</si>
  <si>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</si>
  <si>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</si>
  <si>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</si>
  <si>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</si>
  <si>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</si>
  <si>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</si>
  <si>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</si>
  <si>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</si>
  <si>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</si>
  <si>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</si>
  <si>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</si>
  <si>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</si>
  <si>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</si>
  <si>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</si>
  <si>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</si>
  <si>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</si>
  <si>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</si>
  <si>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</si>
  <si>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</si>
  <si>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</si>
  <si>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</si>
  <si>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</si>
  <si>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</si>
  <si>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</si>
  <si>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</si>
  <si>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</si>
  <si>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</si>
  <si>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</si>
  <si>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</si>
  <si>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</si>
  <si>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</si>
  <si>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</si>
  <si>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</si>
  <si>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</si>
  <si>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</si>
  <si>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</si>
  <si>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</si>
  <si>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</si>
  <si>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</si>
  <si>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</si>
  <si>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</si>
  <si>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</si>
  <si>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</si>
  <si>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</si>
  <si>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</si>
  <si>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</si>
  <si>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</si>
  <si>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</si>
  <si>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</si>
  <si>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</si>
  <si>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</si>
  <si>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</si>
  <si>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</si>
  <si>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</si>
  <si>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</si>
  <si>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</si>
  <si>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</si>
  <si>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</si>
  <si>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</si>
  <si>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</si>
  <si>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</si>
  <si>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</si>
  <si>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</si>
  <si>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</si>
  <si>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</si>
  <si>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</si>
  <si>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</si>
  <si>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</si>
  <si>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</si>
  <si>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</si>
  <si>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</si>
  <si>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</si>
  <si>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</si>
  <si>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</si>
  <si>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</si>
  <si>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</si>
  <si>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</si>
  <si>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</si>
  <si>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</si>
  <si>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</si>
  <si>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</si>
  <si>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</si>
  <si>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</si>
  <si>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</si>
  <si>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</si>
  <si>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</si>
  <si>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</si>
  <si>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</si>
  <si>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</si>
  <si>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</si>
  <si>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</si>
  <si>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</si>
  <si>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</si>
  <si>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</si>
  <si>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</si>
  <si>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</si>
  <si>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</si>
  <si>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</si>
  <si>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</si>
  <si>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</si>
  <si>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</si>
  <si>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</si>
  <si>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</si>
  <si>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</si>
  <si>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</si>
  <si>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</si>
  <si>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</si>
  <si>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</si>
  <si>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</si>
  <si>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</si>
  <si>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</si>
  <si>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</si>
  <si>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</si>
  <si>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</si>
  <si>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</si>
  <si>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</si>
  <si>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</si>
  <si>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</si>
  <si>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</si>
  <si>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</si>
  <si>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</si>
  <si>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</si>
  <si>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</si>
  <si>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</si>
  <si>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</si>
  <si>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</si>
  <si>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</si>
  <si>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</si>
  <si>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</si>
  <si>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</si>
  <si>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</si>
  <si>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</si>
  <si>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</si>
  <si>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</si>
  <si>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</si>
  <si>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</si>
  <si>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</si>
  <si>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</si>
  <si>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</si>
  <si>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</si>
  <si>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</si>
  <si>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</si>
  <si>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</si>
  <si>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</si>
  <si>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</si>
  <si>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</si>
  <si>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</si>
  <si>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</si>
  <si>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</si>
  <si>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</si>
  <si>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</si>
  <si>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</si>
  <si>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</si>
  <si>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</si>
  <si>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</si>
  <si>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</si>
  <si>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</si>
  <si>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</si>
  <si>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</si>
  <si>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</si>
  <si>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</si>
  <si>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</si>
  <si>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</si>
  <si>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</si>
  <si>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</si>
  <si>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</si>
  <si>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</si>
  <si>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</si>
  <si>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</si>
  <si>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</si>
  <si>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</si>
  <si>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</si>
  <si>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</si>
  <si>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</si>
  <si>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</si>
  <si>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</si>
  <si>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</si>
  <si>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</si>
  <si>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</si>
  <si>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</si>
  <si>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</si>
  <si>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</si>
  <si>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</si>
  <si>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</si>
  <si>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</si>
  <si>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</si>
  <si>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</si>
  <si>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</si>
  <si>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</si>
  <si>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</si>
  <si>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</si>
  <si>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</si>
  <si>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</si>
  <si>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</si>
  <si>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</si>
  <si>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</si>
  <si>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</si>
  <si>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</si>
  <si>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</si>
  <si>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</si>
  <si>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</si>
  <si>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</si>
  <si>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</si>
  <si>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</si>
  <si>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</si>
  <si>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</si>
  <si>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</si>
  <si>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</si>
  <si>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</si>
  <si>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</si>
  <si>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</si>
  <si>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</si>
  <si>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</si>
  <si>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</si>
  <si>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</si>
  <si>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</si>
  <si>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</si>
  <si>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</si>
  <si>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</si>
  <si>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</si>
  <si>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</si>
  <si>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</si>
  <si>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</si>
  <si>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</si>
  <si>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</si>
  <si>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</si>
  <si>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</si>
  <si>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</si>
  <si>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</si>
  <si>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</si>
  <si>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</si>
  <si>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</si>
  <si>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</si>
  <si>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</si>
  <si>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</si>
  <si>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</si>
  <si>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</si>
  <si>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</si>
  <si>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</si>
  <si>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</si>
  <si>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</si>
  <si>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</si>
  <si>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</si>
  <si>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</si>
  <si>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</si>
  <si>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</si>
  <si>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</si>
  <si>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</si>
  <si>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</si>
  <si>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</si>
  <si>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</si>
  <si>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</si>
  <si>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</si>
  <si>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</si>
  <si>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</si>
  <si>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</si>
  <si>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</si>
  <si>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</si>
  <si>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</si>
  <si>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</si>
  <si>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</si>
  <si>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</si>
  <si>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</si>
  <si>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</si>
  <si>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</si>
  <si>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</si>
  <si>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</si>
  <si>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</si>
  <si>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</si>
  <si>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</si>
  <si>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</si>
  <si>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</si>
  <si>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</si>
  <si>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</si>
  <si>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</si>
  <si>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</si>
  <si>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</si>
  <si>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</si>
  <si>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</si>
  <si>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</si>
  <si>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</si>
  <si>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</si>
  <si>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</si>
  <si>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</si>
  <si>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</si>
  <si>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</si>
  <si>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</si>
  <si>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</si>
  <si>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</si>
  <si>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</si>
  <si>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</si>
  <si>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</si>
  <si>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</si>
  <si>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</si>
  <si>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</si>
  <si>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</si>
  <si>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</si>
  <si>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</si>
  <si>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</si>
  <si>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</si>
  <si>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</si>
  <si>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</si>
  <si>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</si>
  <si>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</si>
  <si>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</si>
  <si>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</si>
  <si>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</si>
  <si>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</si>
  <si>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</si>
  <si>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</si>
  <si>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</si>
  <si>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</si>
  <si>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</si>
  <si>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</si>
  <si>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</si>
  <si>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</si>
  <si>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</si>
  <si>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</si>
  <si>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</si>
  <si>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</si>
  <si>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</si>
  <si>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</si>
  <si>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</si>
  <si>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</si>
  <si>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</si>
  <si>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</si>
  <si>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</si>
  <si>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</si>
  <si>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</si>
  <si>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</si>
  <si>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</si>
  <si>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</si>
  <si>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</si>
  <si>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</si>
  <si>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</si>
  <si>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</si>
  <si>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</si>
  <si>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</si>
  <si>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</si>
  <si>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</si>
  <si>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</si>
  <si>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</si>
  <si>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</si>
  <si>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</si>
  <si>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</si>
  <si>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</si>
  <si>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</si>
  <si>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</si>
  <si>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</si>
  <si>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</si>
  <si>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</si>
  <si>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</si>
  <si>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</si>
  <si>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</si>
  <si>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</si>
  <si>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</si>
  <si>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</si>
  <si>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</si>
  <si>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</si>
  <si>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</si>
  <si>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</si>
  <si>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</si>
  <si>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</si>
  <si>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</si>
  <si>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</si>
  <si>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</si>
  <si>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</si>
  <si>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</si>
  <si>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</si>
  <si>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</si>
  <si>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</si>
  <si>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</si>
  <si>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</si>
  <si>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</si>
  <si>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</si>
  <si>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</si>
  <si>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</si>
  <si>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</si>
  <si>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</si>
  <si>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</si>
  <si>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</si>
  <si>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</si>
  <si>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</si>
  <si>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</si>
  <si>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</si>
  <si>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</si>
  <si>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</si>
  <si>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</si>
  <si>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</si>
  <si>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</si>
  <si>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</si>
  <si>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</si>
  <si>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</si>
  <si>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</si>
  <si>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</si>
  <si>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</si>
  <si>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</si>
  <si>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</si>
  <si>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</si>
  <si>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</si>
  <si>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</si>
  <si>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</si>
  <si>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</si>
  <si>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</si>
  <si>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</si>
  <si>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</si>
  <si>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</si>
  <si>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</si>
  <si>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</si>
  <si>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</si>
  <si>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</si>
  <si>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</si>
  <si>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</si>
  <si>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</si>
  <si>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</si>
  <si>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</si>
  <si>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</si>
  <si>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</si>
  <si>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</si>
  <si>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</si>
  <si>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</si>
  <si>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</si>
  <si>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</si>
  <si>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</si>
  <si>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</si>
  <si>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</si>
  <si>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</si>
  <si>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</si>
  <si>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</si>
  <si>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</si>
  <si>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</si>
  <si>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</si>
  <si>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</si>
  <si>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</si>
  <si>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</si>
  <si>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</si>
  <si>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</si>
  <si>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</si>
  <si>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</si>
  <si>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</si>
  <si>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</si>
  <si>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</si>
  <si>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</si>
  <si>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</si>
  <si>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</si>
  <si>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</si>
  <si>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</si>
  <si>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</si>
  <si>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</si>
  <si>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</si>
  <si>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</si>
  <si>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</si>
  <si>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</si>
  <si>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</si>
  <si>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</si>
  <si>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</si>
  <si>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</si>
  <si>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</si>
  <si>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</si>
  <si>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</si>
  <si>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</si>
  <si>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</si>
  <si>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</si>
  <si>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</si>
  <si>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</si>
  <si>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</si>
  <si>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</si>
  <si>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</si>
  <si>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</si>
  <si>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</si>
  <si>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</si>
  <si>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</si>
  <si>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</si>
  <si>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</si>
  <si>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</si>
  <si>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</si>
  <si>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</si>
  <si>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</si>
  <si>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</si>
  <si>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</si>
  <si>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</si>
  <si>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</si>
  <si>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</si>
  <si>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</si>
  <si>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</si>
  <si>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</si>
  <si>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</si>
  <si>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</si>
  <si>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</si>
  <si>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</si>
  <si>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</si>
  <si>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</si>
  <si>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</si>
  <si>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</si>
  <si>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</si>
  <si>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</si>
  <si>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</si>
  <si>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</si>
  <si>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</si>
  <si>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</si>
  <si>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</si>
  <si>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</si>
  <si>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</si>
  <si>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</si>
  <si>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</si>
  <si>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</si>
  <si>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</si>
  <si>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</si>
  <si>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</si>
  <si>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</si>
  <si>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</si>
  <si>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</si>
  <si>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</si>
  <si>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</si>
  <si>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</si>
  <si>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</si>
  <si>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</si>
  <si>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</si>
  <si>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</si>
  <si>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</si>
  <si>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</si>
  <si>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</si>
  <si>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</si>
  <si>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</si>
  <si>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</si>
  <si>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</si>
  <si>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</si>
  <si>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</si>
  <si>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</si>
  <si>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</si>
  <si>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</si>
  <si>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</si>
  <si>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</si>
  <si>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</si>
  <si>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</si>
  <si>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</si>
  <si>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</si>
  <si>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</si>
  <si>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</si>
  <si>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</si>
  <si>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</si>
  <si>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</si>
  <si>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</si>
  <si>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</si>
  <si>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</si>
  <si>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</si>
  <si>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</si>
  <si>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</si>
  <si>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</si>
  <si>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</si>
  <si>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</si>
  <si>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</si>
  <si>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</si>
  <si>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</si>
  <si>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</si>
  <si>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</si>
  <si>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</si>
  <si>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</si>
  <si>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</si>
  <si>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</si>
  <si>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</si>
  <si>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</si>
  <si>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</si>
  <si>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</si>
  <si>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</si>
  <si>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</si>
  <si>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</si>
  <si>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</si>
  <si>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</si>
  <si>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</si>
  <si>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</si>
  <si>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</si>
  <si>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</si>
  <si>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</si>
  <si>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</si>
  <si>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</si>
  <si>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</si>
  <si>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</si>
  <si>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</si>
  <si>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</si>
  <si>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</si>
  <si>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</si>
  <si>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</si>
  <si>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</si>
  <si>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</si>
  <si>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</si>
  <si>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</si>
  <si>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</si>
  <si>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</si>
  <si>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</si>
  <si>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</si>
  <si>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</si>
  <si>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</si>
  <si>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</si>
  <si>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</si>
  <si>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</si>
  <si>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</si>
  <si>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</si>
  <si>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</si>
  <si>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</si>
  <si>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</si>
  <si>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</si>
  <si>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</si>
  <si>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</si>
  <si>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</si>
  <si>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</si>
  <si>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</si>
  <si>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</si>
  <si>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</si>
  <si>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</si>
  <si>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</si>
  <si>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</si>
  <si>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</si>
  <si>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</si>
  <si>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</si>
  <si>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</si>
  <si>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</si>
  <si>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</si>
  <si>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</si>
  <si>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</si>
  <si>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</si>
  <si>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</si>
  <si>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</si>
  <si>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</si>
  <si>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</si>
  <si>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</si>
  <si>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</si>
  <si>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</si>
  <si>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</si>
  <si>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</si>
  <si>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</si>
  <si>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</si>
  <si>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</si>
  <si>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</si>
  <si>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</si>
  <si>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</si>
  <si>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</si>
  <si>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</si>
  <si>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</si>
  <si>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</si>
  <si>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</si>
  <si>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</si>
  <si>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</si>
  <si>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</si>
  <si>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</si>
  <si>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</si>
  <si>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</si>
  <si>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</si>
  <si>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</si>
  <si>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</si>
  <si>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</si>
  <si>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</si>
  <si>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</si>
  <si>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</si>
  <si>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</si>
  <si>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</si>
  <si>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</si>
  <si>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</si>
  <si>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</si>
  <si>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</si>
  <si>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</si>
  <si>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</si>
  <si>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</si>
  <si>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</si>
  <si>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</si>
  <si>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</si>
  <si>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</si>
  <si>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</si>
  <si>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</si>
  <si>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</si>
  <si>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</si>
  <si>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</si>
  <si>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</si>
  <si>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</si>
  <si>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</si>
  <si>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</si>
  <si>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</si>
  <si>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</si>
  <si>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</si>
  <si>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</si>
  <si>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</si>
  <si>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</si>
  <si>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</si>
  <si>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</si>
  <si>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</si>
  <si>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</si>
  <si>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</si>
  <si>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</si>
  <si>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</si>
  <si>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</si>
  <si>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</si>
  <si>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</si>
  <si>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</si>
  <si>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</si>
  <si>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</si>
  <si>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</si>
  <si>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</si>
  <si>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</si>
  <si>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</si>
  <si>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</si>
  <si>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</si>
  <si>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</si>
  <si>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</si>
  <si>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</si>
  <si>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</si>
  <si>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</si>
  <si>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</si>
  <si>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</si>
  <si>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</si>
  <si>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</si>
  <si>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</si>
  <si>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</si>
  <si>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</si>
  <si>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</si>
  <si>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</si>
  <si>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</si>
  <si>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</si>
  <si>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</si>
  <si>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</si>
  <si>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</si>
  <si>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</si>
  <si>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</si>
  <si>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</si>
  <si>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</si>
  <si>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</si>
  <si>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</si>
  <si>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</si>
  <si>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</si>
  <si>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</si>
  <si>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</si>
  <si>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</si>
  <si>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</si>
  <si>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</si>
  <si>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</si>
  <si>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</si>
  <si>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</si>
  <si>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</si>
  <si>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</si>
  <si>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</si>
  <si>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</si>
  <si>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</si>
  <si>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</si>
  <si>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</si>
  <si>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</si>
  <si>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</si>
  <si>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</si>
  <si>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</si>
  <si>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</si>
  <si>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</si>
  <si>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</si>
  <si>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</si>
  <si>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</si>
  <si>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</si>
  <si>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</si>
  <si>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</si>
  <si>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</si>
  <si>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</si>
  <si>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</si>
  <si>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</si>
  <si>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</si>
  <si>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</si>
  <si>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</si>
  <si>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</si>
  <si>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</si>
  <si>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</si>
  <si>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</si>
  <si>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</si>
  <si>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</si>
  <si>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</si>
  <si>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</si>
  <si>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</si>
  <si>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</si>
  <si>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</si>
  <si>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</si>
  <si>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</si>
  <si>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</si>
  <si>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</si>
  <si>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</si>
  <si>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</si>
  <si>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</si>
  <si>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</si>
  <si>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</si>
  <si>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</si>
  <si>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</si>
  <si>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</si>
  <si>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</si>
  <si>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</si>
  <si>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</si>
  <si>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</si>
  <si>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</si>
  <si>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</si>
  <si>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</si>
  <si>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</si>
  <si>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</si>
  <si>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</si>
  <si>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</si>
  <si>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</si>
  <si>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</si>
  <si>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</si>
  <si>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</si>
  <si>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</si>
  <si>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</si>
  <si>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</si>
  <si>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</si>
  <si>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</si>
  <si>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</si>
  <si>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</si>
  <si>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</si>
  <si>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</si>
  <si>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</si>
  <si>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</si>
  <si>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</si>
  <si>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</si>
  <si>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</si>
  <si>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</si>
  <si>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</si>
  <si>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</si>
  <si>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</si>
  <si>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</si>
  <si>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</si>
  <si>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</si>
  <si>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</si>
  <si>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</si>
  <si>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</si>
  <si>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</si>
  <si>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</si>
  <si>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</si>
  <si>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</si>
  <si>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</si>
  <si>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</si>
  <si>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</si>
  <si>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</si>
  <si>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</si>
  <si>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</si>
  <si>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</si>
  <si>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</si>
  <si>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</si>
  <si>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</si>
  <si>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</si>
  <si>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</si>
  <si>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</si>
  <si>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</si>
  <si>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</si>
  <si>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</si>
  <si>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</si>
  <si>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</si>
  <si>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</si>
  <si>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</si>
  <si>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</si>
  <si>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</si>
  <si>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</si>
  <si>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</si>
  <si>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</si>
  <si>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</si>
  <si>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</si>
  <si>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</si>
  <si>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</si>
  <si>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</si>
  <si>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</si>
  <si>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</si>
  <si>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</si>
  <si>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</si>
  <si>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</si>
  <si>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</si>
  <si>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</si>
  <si>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</si>
  <si>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</si>
  <si>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</si>
  <si>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</si>
  <si>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</si>
  <si>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</si>
  <si>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</si>
  <si>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</si>
  <si>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</si>
  <si>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</si>
  <si>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</si>
  <si>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</si>
  <si>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</si>
  <si>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</si>
  <si>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</si>
  <si>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</si>
  <si>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</si>
  <si>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</si>
  <si>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</si>
  <si>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</si>
  <si>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</si>
  <si>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</si>
  <si>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</si>
  <si>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</si>
  <si>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</si>
  <si>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</si>
  <si>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</si>
  <si>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</si>
  <si>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</si>
  <si>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</si>
  <si>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</si>
  <si>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</si>
  <si>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</si>
  <si>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</si>
  <si>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</si>
  <si>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</si>
  <si>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</si>
  <si>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</si>
  <si>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</si>
  <si>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</si>
  <si>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</si>
  <si>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</si>
  <si>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</si>
  <si>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</si>
  <si>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</si>
  <si>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</si>
  <si>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</si>
  <si>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</si>
  <si>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</si>
  <si>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</si>
  <si>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</si>
  <si>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</si>
  <si>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</si>
  <si>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</si>
  <si>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</si>
  <si>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</si>
  <si>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</si>
  <si>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</si>
  <si>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</si>
  <si>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</si>
  <si>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</si>
  <si>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</si>
  <si>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</si>
  <si>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</si>
  <si>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</si>
  <si>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</si>
  <si>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</si>
  <si>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</si>
  <si>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</si>
  <si>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</si>
  <si>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</si>
  <si>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</si>
  <si>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</si>
  <si>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</si>
  <si>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</si>
  <si>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</si>
  <si>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</si>
  <si>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</si>
  <si>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</si>
  <si>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</si>
  <si>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</si>
  <si>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</si>
  <si>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</si>
  <si>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</si>
  <si>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</si>
  <si>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</si>
  <si>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</si>
  <si>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</si>
  <si>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</si>
  <si>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</si>
  <si>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</si>
  <si>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</si>
  <si>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</si>
  <si>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</si>
  <si>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</si>
  <si>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</si>
  <si>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</si>
  <si>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</si>
  <si>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</si>
  <si>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</si>
  <si>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</si>
  <si>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</si>
  <si>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</si>
  <si>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</si>
  <si>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</si>
  <si>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</si>
  <si>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</si>
  <si>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</si>
  <si>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</si>
  <si>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</si>
  <si>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</si>
  <si>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</si>
  <si>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</si>
  <si>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</si>
  <si>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</si>
  <si>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</si>
  <si>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</si>
  <si>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</si>
  <si>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</si>
  <si>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</si>
  <si>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</si>
  <si>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</si>
  <si>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</si>
  <si>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</si>
  <si>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</si>
  <si>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</si>
  <si>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</si>
  <si>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</si>
  <si>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</si>
  <si>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</si>
  <si>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</si>
  <si>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</si>
  <si>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</si>
  <si>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</si>
  <si>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</si>
  <si>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</si>
  <si>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</si>
  <si>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</si>
  <si>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</si>
  <si>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</si>
  <si>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</si>
  <si>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</si>
  <si>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</si>
  <si>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</si>
  <si>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</si>
  <si>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</si>
  <si>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</si>
  <si>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</si>
  <si>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</si>
  <si>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</si>
  <si>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</si>
  <si>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</si>
  <si>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</si>
  <si>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</si>
  <si>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</si>
  <si>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</si>
  <si>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</si>
  <si>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</si>
  <si>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</si>
  <si>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</si>
  <si>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</si>
  <si>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</si>
  <si>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</si>
  <si>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</si>
  <si>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</si>
  <si>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</si>
  <si>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</si>
  <si>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</si>
  <si>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</si>
  <si>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</si>
  <si>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</si>
  <si>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</si>
  <si>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</si>
  <si>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</si>
  <si>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</si>
  <si>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</si>
  <si>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</si>
  <si>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</si>
  <si>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</si>
  <si>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</si>
  <si>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</si>
  <si>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</si>
  <si>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</si>
  <si>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</si>
  <si>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</si>
  <si>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</si>
  <si>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</si>
  <si>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</si>
  <si>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</si>
  <si>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</si>
  <si>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</si>
  <si>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</si>
  <si>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</si>
  <si>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</si>
  <si>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</si>
  <si>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</si>
  <si>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</si>
  <si>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</si>
  <si>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</si>
  <si>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</si>
  <si>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</si>
  <si>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</si>
  <si>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</si>
  <si>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</si>
  <si>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</si>
  <si>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</si>
  <si>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</si>
  <si>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</si>
  <si>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</si>
  <si>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</si>
  <si>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</si>
  <si>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</si>
  <si>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</si>
  <si>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</si>
  <si>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</si>
  <si>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</si>
  <si>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</si>
  <si>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</si>
  <si>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</si>
  <si>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</si>
  <si>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</si>
  <si>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</si>
  <si>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</si>
  <si>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</si>
  <si>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</si>
  <si>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</si>
  <si>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</si>
  <si>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</si>
  <si>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</si>
  <si>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</si>
  <si>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</si>
  <si>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</si>
  <si>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</si>
  <si>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</si>
  <si>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</si>
  <si>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</si>
  <si>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</si>
  <si>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</si>
  <si>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</si>
  <si>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</si>
  <si>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</si>
  <si>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</si>
  <si>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</si>
  <si>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</si>
  <si>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</si>
  <si>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</si>
  <si>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</si>
  <si>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</si>
  <si>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</si>
  <si>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</si>
  <si>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</si>
  <si>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</si>
  <si>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</si>
  <si>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</si>
  <si>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</si>
  <si>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</si>
  <si>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</si>
  <si>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</si>
  <si>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</si>
  <si>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</si>
  <si>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</si>
  <si>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</si>
  <si>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</si>
  <si>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</si>
  <si>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</si>
  <si>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</si>
  <si>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</si>
  <si>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</si>
  <si>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</si>
  <si>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</si>
  <si>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</si>
  <si>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</si>
  <si>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</si>
  <si>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</si>
  <si>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</si>
  <si>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</si>
  <si>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</si>
  <si>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</si>
  <si>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</si>
  <si>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</si>
  <si>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</si>
  <si>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</si>
  <si>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</si>
  <si>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</si>
  <si>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</si>
  <si>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</si>
  <si>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</si>
  <si>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</si>
  <si>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</si>
  <si>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</si>
  <si>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</si>
  <si>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</si>
  <si>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</si>
  <si>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</si>
  <si>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</si>
  <si>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</si>
  <si>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</si>
  <si>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</si>
  <si>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</si>
  <si>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</si>
  <si>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</si>
  <si>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</si>
  <si>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</si>
  <si>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</si>
  <si>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</si>
  <si>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</si>
  <si>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</si>
  <si>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</si>
  <si>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</si>
  <si>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</si>
  <si>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</si>
  <si>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</si>
  <si>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</si>
  <si>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</si>
  <si>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</si>
  <si>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</si>
  <si>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</si>
  <si>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</si>
  <si>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</si>
  <si>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</si>
  <si>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</si>
  <si>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</si>
  <si>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</si>
  <si>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</si>
  <si>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</si>
  <si>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</si>
  <si>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</si>
  <si>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</si>
  <si>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</si>
  <si>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</si>
  <si>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</si>
  <si>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</si>
  <si>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</si>
  <si>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</si>
  <si>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</si>
  <si>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</si>
  <si>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</si>
  <si>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</si>
  <si>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</si>
  <si>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</si>
  <si>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</si>
  <si>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</si>
  <si>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</si>
  <si>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</si>
  <si>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</si>
  <si>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</si>
  <si>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</si>
  <si>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</si>
  <si>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</si>
  <si>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</si>
  <si>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</si>
  <si>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</si>
  <si>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</si>
  <si>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</si>
  <si>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</si>
  <si>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</si>
  <si>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</si>
  <si>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</si>
  <si>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</si>
  <si>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</si>
  <si>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</si>
  <si>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</si>
  <si>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</si>
  <si>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</si>
  <si>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</si>
  <si>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</si>
  <si>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</si>
  <si>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</si>
  <si>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</si>
  <si>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</si>
  <si>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</si>
  <si>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</si>
  <si>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</si>
  <si>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</si>
  <si>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</si>
  <si>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</si>
  <si>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</si>
  <si>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</si>
  <si>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</si>
  <si>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</si>
  <si>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</si>
  <si>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</si>
  <si>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</si>
  <si>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</si>
  <si>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</si>
  <si>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</si>
  <si>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</si>
  <si>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</si>
  <si>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</si>
  <si>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</si>
  <si>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</si>
  <si>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</si>
  <si>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</si>
  <si>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</si>
  <si>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</si>
  <si>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</si>
  <si>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</si>
  <si>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</si>
  <si>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</si>
  <si>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</si>
  <si>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</si>
  <si>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</si>
  <si>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</si>
  <si>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</si>
  <si>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</si>
  <si>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</si>
  <si>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</si>
  <si>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</si>
  <si>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</si>
  <si>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</si>
  <si>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</si>
  <si>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</si>
  <si>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</si>
  <si>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</si>
  <si>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</si>
  <si>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</si>
  <si>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</si>
  <si>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</si>
  <si>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</si>
  <si>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</si>
  <si>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</si>
  <si>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</si>
  <si>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</si>
  <si>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</si>
  <si>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</si>
  <si>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</si>
  <si>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</si>
  <si>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</si>
  <si>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</si>
  <si>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</si>
  <si>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</si>
  <si>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</si>
  <si>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</si>
  <si>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</si>
  <si>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</si>
  <si>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</si>
  <si>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</si>
  <si>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</si>
  <si>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</si>
  <si>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</si>
  <si>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</si>
  <si>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</si>
  <si>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</si>
  <si>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</si>
  <si>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</si>
  <si>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</si>
  <si>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</si>
  <si>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</si>
  <si>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</si>
  <si>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</si>
  <si>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</si>
  <si>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</si>
  <si>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</si>
  <si>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</si>
  <si>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</si>
  <si>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</si>
  <si>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</si>
  <si>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</si>
  <si>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</si>
  <si>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</si>
  <si>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</si>
  <si>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</si>
  <si>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</si>
  <si>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</si>
  <si>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</si>
  <si>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</si>
  <si>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</si>
  <si>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</si>
  <si>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</si>
  <si>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</si>
  <si>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</si>
  <si>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</si>
  <si>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</si>
  <si>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</si>
  <si>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</si>
  <si>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</si>
  <si>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</si>
  <si>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</si>
  <si>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</si>
  <si>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</si>
  <si>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</si>
  <si>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</si>
  <si>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</si>
  <si>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</si>
  <si>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</si>
  <si>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</si>
  <si>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</si>
  <si>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</si>
  <si>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</si>
  <si>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</si>
  <si>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</si>
  <si>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</si>
  <si>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</si>
  <si>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</si>
  <si>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</si>
  <si>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</si>
  <si>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</si>
  <si>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</si>
  <si>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</si>
  <si>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</si>
  <si>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</si>
  <si>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</si>
  <si>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</si>
  <si>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</si>
  <si>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</si>
  <si>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</si>
  <si>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</si>
  <si>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</si>
  <si>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</si>
  <si>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</si>
  <si>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</si>
  <si>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</si>
  <si>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</si>
  <si>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</si>
  <si>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</si>
  <si>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</si>
  <si>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</si>
  <si>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</si>
  <si>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</si>
  <si>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</si>
  <si>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</si>
  <si>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</si>
  <si>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</si>
  <si>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</si>
  <si>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</si>
  <si>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</si>
  <si>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</si>
  <si>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</si>
  <si>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</si>
  <si>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</si>
  <si>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</si>
  <si>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</si>
  <si>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</si>
  <si>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</si>
  <si>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</si>
  <si>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</si>
  <si>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</si>
  <si>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</si>
  <si>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</si>
  <si>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</si>
  <si>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</si>
  <si>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</si>
  <si>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</si>
  <si>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</si>
  <si>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</si>
  <si>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</si>
  <si>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</si>
  <si>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</si>
  <si>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</si>
  <si>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</si>
  <si>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</si>
  <si>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</si>
  <si>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</si>
  <si>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</si>
  <si>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</si>
  <si>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</si>
  <si>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</si>
  <si>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</si>
  <si>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</si>
  <si>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</si>
  <si>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</si>
  <si>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</si>
  <si>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</si>
  <si>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</si>
  <si>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</si>
  <si>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</si>
  <si>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</si>
  <si>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</si>
  <si>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</si>
  <si>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</si>
  <si>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</si>
  <si>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</si>
  <si>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</si>
  <si>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</si>
  <si>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</si>
  <si>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</si>
  <si>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</si>
  <si>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</si>
  <si>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</si>
  <si>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</si>
  <si>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</si>
  <si>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</si>
  <si>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</si>
  <si>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</si>
  <si>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</si>
  <si>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</si>
  <si>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</si>
  <si>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</si>
  <si>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</si>
  <si>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</si>
  <si>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</si>
  <si>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</si>
  <si>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</si>
  <si>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</si>
  <si>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</si>
  <si>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</si>
  <si>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</si>
  <si>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</si>
  <si>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</si>
  <si>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</si>
  <si>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</si>
  <si>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</si>
  <si>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</si>
  <si>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</si>
  <si>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</si>
  <si>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</si>
  <si>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</si>
  <si>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</si>
  <si>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</si>
  <si>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</si>
  <si>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</si>
  <si>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</si>
  <si>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</si>
  <si>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</si>
  <si>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</si>
  <si>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</si>
  <si>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</si>
  <si>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</si>
  <si>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</si>
  <si>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</si>
  <si>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</si>
  <si>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</si>
  <si>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</si>
  <si>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</si>
  <si>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</si>
  <si>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</si>
  <si>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</si>
  <si>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</si>
  <si>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</si>
  <si>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</si>
  <si>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</si>
  <si>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</si>
  <si>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</si>
  <si>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</si>
  <si>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</si>
  <si>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</si>
  <si>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</si>
  <si>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</si>
  <si>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</si>
  <si>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</si>
  <si>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</si>
  <si>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</si>
  <si>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</si>
  <si>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</si>
  <si>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</si>
  <si>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</si>
  <si>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</si>
  <si>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</si>
  <si>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</si>
  <si>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</si>
  <si>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</si>
  <si>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</si>
  <si>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</si>
  <si>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</si>
  <si>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</si>
  <si>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</si>
  <si>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</si>
  <si>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</si>
  <si>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</si>
  <si>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</si>
  <si>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</si>
  <si>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</si>
  <si>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</si>
  <si>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</si>
  <si>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</si>
  <si>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</si>
  <si>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</si>
  <si>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</si>
  <si>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</si>
  <si>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</si>
  <si>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</si>
  <si>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</si>
  <si>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</si>
  <si>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</si>
  <si>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</si>
  <si>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</si>
  <si>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</si>
  <si>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</si>
  <si>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</si>
  <si>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</si>
  <si>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</si>
  <si>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</si>
  <si>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</si>
  <si>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</si>
  <si>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</si>
  <si>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</si>
  <si>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</si>
  <si>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</si>
  <si>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</si>
  <si>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</si>
  <si>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</si>
  <si>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</si>
  <si>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</si>
  <si>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</si>
  <si>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</si>
  <si>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</si>
  <si>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</si>
  <si>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</si>
  <si>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</si>
  <si>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</si>
  <si>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</si>
  <si>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</si>
  <si>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</si>
  <si>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</si>
  <si>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</si>
  <si>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</si>
  <si>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</si>
  <si>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</si>
  <si>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</si>
  <si>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</si>
  <si>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</si>
  <si>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</si>
  <si>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</si>
  <si>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</si>
  <si>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</si>
  <si>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</si>
  <si>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</si>
  <si>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</si>
  <si>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</si>
  <si>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</si>
  <si>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</si>
  <si>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</si>
  <si>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</si>
  <si>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</si>
  <si>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</si>
  <si>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</si>
  <si>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</si>
  <si>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</si>
  <si>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</si>
  <si>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</si>
  <si>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</si>
  <si>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</si>
  <si>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</si>
  <si>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</si>
  <si>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</si>
  <si>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</si>
  <si>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</si>
  <si>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</si>
  <si>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</si>
  <si>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</si>
  <si>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</si>
  <si>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</si>
  <si>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</si>
  <si>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</si>
  <si>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</si>
  <si>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</si>
  <si>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</si>
  <si>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</si>
  <si>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</si>
  <si>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</si>
  <si>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</si>
  <si>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</si>
  <si>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</si>
  <si>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</si>
  <si>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</si>
  <si>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</si>
  <si>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</si>
  <si>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</si>
  <si>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</si>
  <si>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</si>
  <si>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</si>
  <si>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</si>
  <si>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</si>
  <si>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</si>
  <si>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</si>
  <si>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</si>
  <si>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</si>
  <si>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</si>
  <si>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</si>
  <si>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</si>
  <si>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</si>
  <si>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</si>
  <si>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</si>
  <si>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</si>
  <si>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</si>
  <si>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</si>
  <si>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</si>
  <si>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</si>
  <si>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</si>
  <si>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</si>
  <si>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</si>
  <si>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</si>
  <si>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</si>
  <si>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</si>
  <si>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</si>
  <si>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</si>
  <si>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</si>
  <si>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</si>
  <si>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</si>
  <si>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</si>
  <si>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</si>
  <si>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</si>
  <si>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</si>
  <si>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</si>
  <si>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</si>
  <si>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</si>
  <si>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</si>
  <si>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</si>
  <si>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</si>
  <si>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</si>
  <si>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</si>
  <si>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</si>
  <si>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</si>
  <si>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</si>
  <si>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</si>
  <si>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</si>
  <si>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</si>
  <si>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</si>
  <si>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</si>
  <si>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</si>
  <si>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</si>
  <si>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</si>
  <si>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</si>
  <si>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</si>
  <si>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</si>
  <si>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</si>
  <si>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</si>
  <si>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</si>
  <si>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</si>
  <si>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</si>
  <si>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</si>
  <si>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</si>
  <si>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</si>
  <si>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</si>
  <si>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</si>
  <si>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</si>
  <si>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</si>
  <si>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</si>
  <si>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</si>
  <si>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</si>
  <si>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</si>
  <si>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</si>
  <si>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</si>
  <si>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</si>
  <si>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</si>
  <si>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</si>
  <si>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</si>
  <si>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</si>
  <si>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</si>
  <si>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</si>
  <si>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</si>
  <si>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</si>
  <si>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</si>
  <si>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</si>
  <si>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</si>
  <si>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</si>
  <si>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</si>
  <si>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</si>
  <si>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</si>
  <si>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</si>
  <si>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</si>
  <si>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</si>
  <si>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</si>
  <si>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</si>
  <si>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</si>
  <si>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</si>
  <si>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</si>
  <si>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</si>
  <si>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</si>
  <si>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</si>
  <si>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</si>
  <si>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</si>
  <si>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</si>
  <si>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</si>
  <si>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</si>
  <si>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</si>
  <si>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</si>
  <si>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</si>
  <si>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</si>
  <si>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</si>
  <si>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</si>
  <si>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</si>
  <si>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</si>
  <si>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</si>
  <si>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</si>
  <si>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</si>
  <si>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</si>
  <si>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</si>
  <si>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</si>
  <si>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</si>
  <si>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</si>
  <si>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</si>
  <si>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</si>
  <si>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</si>
  <si>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</si>
  <si>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</si>
  <si>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</si>
  <si>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</si>
  <si>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</si>
  <si>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</si>
  <si>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</si>
  <si>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</si>
  <si>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</si>
  <si>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</si>
  <si>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</si>
  <si>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</si>
  <si>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</si>
  <si>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</si>
  <si>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</si>
  <si>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</si>
  <si>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</si>
  <si>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</si>
  <si>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</si>
  <si>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</si>
  <si>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</si>
  <si>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</si>
  <si>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</si>
  <si>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</si>
  <si>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</si>
  <si>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</si>
  <si>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</si>
  <si>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</si>
  <si>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</si>
  <si>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</si>
  <si>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</si>
  <si>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</si>
  <si>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</si>
  <si>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</si>
  <si>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</si>
  <si>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</si>
  <si>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</si>
  <si>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</si>
  <si>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</si>
  <si>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</si>
  <si>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</si>
  <si>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</si>
  <si>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</si>
  <si>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</si>
  <si>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</si>
  <si>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</si>
  <si>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</si>
  <si>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</si>
  <si>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</si>
  <si>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</si>
  <si>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</si>
  <si>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</si>
  <si>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</si>
  <si>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</si>
  <si>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</si>
  <si>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</si>
  <si>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</si>
  <si>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</si>
  <si>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</si>
  <si>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</si>
  <si>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</si>
  <si>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</si>
  <si>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</si>
  <si>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</si>
  <si>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</si>
  <si>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</si>
  <si>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</si>
  <si>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</si>
  <si>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</si>
  <si>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</si>
  <si>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</si>
  <si>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</si>
  <si>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</si>
  <si>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</si>
  <si>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</si>
  <si>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</si>
  <si>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</si>
  <si>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</si>
  <si>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</si>
  <si>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</si>
  <si>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</si>
  <si>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</si>
  <si>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</si>
  <si>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</si>
  <si>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</si>
  <si>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</si>
  <si>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</si>
  <si>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</si>
  <si>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</si>
  <si>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</si>
  <si>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</si>
  <si>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</si>
  <si>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</si>
  <si>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</si>
  <si>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</si>
  <si>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</si>
  <si>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</si>
  <si>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</si>
  <si>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</si>
  <si>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</si>
  <si>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</si>
  <si>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</si>
  <si>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</si>
  <si>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</si>
  <si>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</si>
  <si>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</si>
  <si>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</si>
  <si>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</si>
  <si>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</si>
  <si>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</si>
  <si>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</si>
  <si>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</si>
  <si>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</si>
  <si>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</si>
  <si>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</si>
  <si>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</si>
  <si>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</si>
  <si>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</si>
  <si>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</si>
  <si>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</si>
  <si>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</si>
  <si>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</si>
  <si>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</si>
  <si>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</si>
  <si>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</si>
  <si>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</si>
  <si>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</si>
  <si>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</si>
  <si>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</si>
  <si>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</si>
  <si>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</si>
  <si>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</si>
  <si>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</si>
  <si>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</si>
  <si>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</si>
  <si>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</si>
  <si>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</si>
  <si>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</si>
  <si>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</si>
  <si>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</si>
  <si>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</si>
  <si>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</si>
  <si>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</si>
  <si>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</si>
  <si>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</si>
  <si>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</si>
  <si>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</si>
  <si>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</si>
  <si>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</si>
  <si>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</si>
  <si>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</si>
  <si>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</si>
  <si>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</si>
  <si>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</si>
  <si>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</si>
  <si>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</si>
  <si>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</si>
  <si>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</si>
  <si>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</si>
  <si>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</si>
  <si>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</si>
  <si>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</si>
  <si>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</si>
  <si>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</si>
  <si>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</si>
  <si>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</si>
  <si>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</si>
  <si>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</si>
  <si>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</si>
  <si>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</si>
  <si>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</si>
  <si>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</si>
  <si>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</si>
  <si>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</si>
  <si>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</si>
  <si>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</si>
  <si>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</si>
  <si>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</si>
  <si>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</si>
  <si>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</si>
  <si>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</si>
  <si>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</si>
  <si>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</si>
  <si>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</si>
  <si>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</si>
  <si>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</si>
  <si>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</si>
  <si>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</si>
  <si>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</si>
  <si>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</si>
  <si>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</si>
  <si>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</si>
  <si>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</si>
  <si>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</si>
  <si>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</si>
  <si>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</si>
  <si>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</si>
  <si>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</si>
  <si>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</si>
  <si>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</si>
  <si>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</si>
  <si>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</si>
  <si>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</si>
  <si>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</si>
  <si>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</si>
  <si>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</si>
  <si>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</si>
  <si>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</si>
  <si>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</si>
  <si>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</si>
  <si>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</si>
  <si>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</si>
  <si>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</si>
  <si>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</si>
  <si>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</si>
  <si>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</si>
  <si>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</si>
  <si>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</si>
  <si>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</si>
  <si>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</si>
  <si>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</si>
  <si>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</si>
  <si>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</si>
  <si>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</si>
  <si>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</si>
  <si>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</si>
  <si>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</si>
  <si>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</si>
  <si>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</si>
  <si>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</si>
  <si>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</si>
  <si>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</si>
  <si>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</si>
  <si>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</si>
  <si>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</si>
  <si>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</si>
  <si>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</si>
  <si>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</si>
  <si>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</si>
  <si>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</si>
  <si>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</si>
  <si>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</si>
  <si>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</si>
  <si>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</si>
  <si>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</si>
  <si>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</si>
  <si>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</si>
  <si>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</si>
  <si>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</si>
  <si>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</si>
  <si>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</si>
  <si>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</si>
  <si>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</si>
  <si>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</si>
  <si>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</si>
  <si>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</si>
  <si>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</si>
  <si>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</si>
  <si>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</si>
  <si>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</si>
  <si>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</si>
  <si>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</si>
  <si>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</si>
  <si>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</si>
  <si>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</si>
  <si>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</si>
  <si>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</si>
  <si>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</si>
  <si>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</si>
  <si>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</si>
  <si>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</si>
  <si>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</si>
  <si>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</si>
  <si>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</si>
  <si>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</si>
  <si>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</si>
  <si>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</si>
  <si>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</si>
  <si>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</si>
  <si>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</si>
  <si>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</si>
  <si>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</si>
  <si>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</si>
  <si>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</si>
  <si>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</si>
  <si>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</si>
  <si>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</si>
  <si>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</si>
  <si>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</si>
  <si>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</si>
  <si>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</si>
  <si>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</si>
  <si>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</si>
  <si>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</si>
  <si>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</si>
  <si>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</si>
  <si>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</si>
  <si>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</si>
  <si>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</si>
  <si>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</si>
  <si>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</si>
  <si>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</si>
  <si>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</si>
  <si>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</si>
  <si>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</si>
  <si>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</si>
  <si>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</si>
  <si>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</si>
  <si>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</si>
  <si>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</si>
  <si>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</si>
  <si>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</si>
  <si>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</si>
  <si>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</si>
  <si>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</si>
  <si>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</si>
  <si>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</si>
  <si>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</si>
  <si>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</si>
  <si>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</si>
  <si>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</si>
  <si>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</si>
  <si>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</si>
  <si>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</si>
  <si>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</si>
  <si>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</si>
  <si>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</si>
  <si>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</si>
  <si>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</si>
  <si>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</si>
  <si>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</si>
  <si>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</si>
  <si>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</si>
  <si>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</si>
  <si>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</si>
  <si>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</si>
  <si>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</si>
  <si>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</si>
  <si>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</si>
  <si>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</si>
  <si>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</si>
  <si>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</si>
  <si>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</si>
  <si>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</si>
  <si>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</si>
  <si>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</si>
  <si>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</si>
  <si>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</si>
  <si>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</si>
  <si>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</si>
  <si>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</si>
  <si>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</si>
  <si>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</si>
  <si>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</si>
  <si>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</si>
  <si>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</si>
  <si>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</si>
  <si>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</si>
  <si>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</si>
  <si>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</si>
  <si>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</si>
  <si>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</si>
  <si>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</si>
  <si>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</si>
  <si>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</si>
  <si>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</si>
  <si>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</si>
  <si>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</si>
  <si>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</si>
  <si>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</si>
  <si>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</si>
  <si>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</si>
  <si>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</si>
  <si>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</si>
  <si>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</si>
  <si>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</si>
  <si>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</si>
  <si>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</si>
  <si>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</si>
  <si>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</si>
  <si>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</si>
  <si>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</si>
  <si>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</si>
  <si>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</si>
  <si>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</si>
  <si>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</si>
  <si>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</si>
  <si>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</si>
  <si>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</si>
  <si>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</si>
  <si>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</si>
  <si>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</si>
  <si>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</si>
  <si>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</si>
  <si>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</si>
  <si>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</si>
  <si>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</si>
  <si>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</si>
  <si>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</si>
  <si>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</si>
  <si>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</si>
  <si>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</si>
  <si>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</si>
  <si>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</si>
  <si>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</si>
  <si>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</si>
  <si>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</si>
  <si>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</si>
  <si>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</si>
  <si>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</si>
  <si>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</si>
  <si>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</si>
  <si>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</si>
  <si>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</si>
  <si>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</si>
  <si>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</si>
  <si>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</si>
  <si>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</si>
  <si>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</si>
  <si>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</si>
  <si>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</si>
  <si>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</si>
  <si>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</si>
  <si>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</si>
  <si>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</si>
  <si>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</si>
  <si>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</si>
  <si>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</si>
  <si>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</si>
  <si>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</si>
  <si>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</si>
  <si>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</si>
  <si>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</si>
  <si>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</si>
  <si>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</si>
  <si>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</si>
  <si>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</si>
  <si>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</si>
  <si>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</si>
  <si>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</si>
  <si>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</si>
  <si>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</si>
  <si>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</si>
  <si>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</si>
  <si>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</si>
  <si>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</si>
  <si>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</si>
  <si>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</si>
  <si>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</si>
  <si>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</si>
  <si>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</si>
  <si>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</si>
  <si>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</si>
  <si>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</si>
  <si>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</si>
  <si>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</si>
  <si>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</si>
  <si>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</si>
  <si>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</si>
  <si>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</si>
  <si>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</si>
  <si>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</si>
  <si>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</si>
  <si>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</si>
  <si>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</si>
  <si>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</si>
  <si>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</si>
  <si>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</si>
  <si>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</si>
  <si>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</si>
  <si>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</si>
  <si>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</si>
  <si>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</si>
  <si>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</si>
  <si>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</si>
  <si>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</si>
  <si>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</si>
  <si>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</si>
  <si>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</si>
  <si>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</si>
  <si>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</si>
  <si>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</si>
  <si>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</si>
  <si>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</si>
  <si>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</si>
  <si>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</si>
  <si>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</si>
  <si>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</si>
  <si>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</si>
  <si>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</si>
  <si>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</si>
  <si>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</si>
  <si>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</si>
  <si>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</si>
  <si>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</si>
  <si>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</si>
  <si>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</si>
  <si>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</si>
  <si>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</si>
  <si>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</si>
  <si>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</si>
  <si>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</si>
  <si>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</si>
  <si>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</si>
  <si>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</si>
  <si>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</si>
  <si>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</si>
  <si>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</si>
  <si>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</si>
  <si>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</si>
  <si>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</si>
  <si>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</si>
  <si>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</si>
  <si>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</si>
  <si>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</si>
  <si>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</si>
  <si>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</si>
  <si>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</si>
  <si>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</si>
  <si>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</si>
  <si>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</si>
  <si>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</si>
  <si>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</si>
  <si>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</si>
  <si>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</si>
  <si>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</si>
  <si>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</si>
  <si>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</si>
  <si>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</si>
  <si>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</si>
  <si>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</si>
  <si>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</si>
  <si>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</si>
  <si>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</si>
  <si>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</si>
  <si>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</si>
  <si>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</si>
  <si>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</si>
  <si>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</si>
  <si>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</si>
  <si>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</si>
  <si>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</si>
  <si>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</si>
  <si>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</si>
  <si>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</si>
  <si>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</si>
  <si>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</si>
  <si>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</si>
  <si>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</si>
  <si>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</si>
  <si>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</si>
  <si>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</si>
  <si>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</si>
  <si>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</si>
  <si>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</si>
  <si>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</si>
  <si>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</si>
  <si>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</si>
  <si>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</si>
  <si>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</si>
  <si>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</si>
  <si>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</si>
  <si>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</si>
  <si>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</si>
  <si>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</si>
  <si>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</si>
  <si>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</si>
  <si>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</si>
  <si>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</si>
  <si>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</si>
  <si>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</si>
  <si>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</si>
  <si>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</si>
  <si>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</si>
  <si>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</si>
  <si>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</si>
  <si>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</si>
  <si>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</si>
  <si>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</si>
  <si>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</si>
  <si>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</si>
  <si>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</si>
  <si>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</si>
  <si>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</si>
  <si>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</si>
  <si>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</si>
  <si>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</si>
  <si>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</si>
  <si>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</si>
  <si>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</si>
  <si>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</si>
  <si>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</si>
  <si>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</si>
  <si>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</si>
  <si>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</si>
  <si>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</si>
  <si>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</si>
  <si>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</si>
  <si>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</si>
  <si>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</si>
  <si>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</si>
  <si>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</si>
  <si>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</si>
  <si>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</si>
  <si>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</si>
  <si>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</si>
  <si>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</si>
  <si>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</si>
  <si>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</si>
  <si>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</si>
  <si>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</si>
  <si>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</si>
  <si>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</si>
  <si>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</si>
  <si>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</si>
  <si>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</si>
  <si>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</si>
  <si>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</si>
  <si>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</si>
  <si>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</si>
  <si>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</si>
  <si>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</si>
  <si>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</si>
  <si>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</si>
  <si>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</si>
  <si>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</si>
  <si>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</si>
  <si>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</si>
  <si>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</si>
  <si>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</si>
  <si>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</si>
  <si>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</si>
  <si>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</si>
  <si>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</si>
  <si>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</si>
  <si>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</si>
  <si>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</si>
  <si>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</si>
  <si>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</si>
  <si>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</si>
  <si>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</si>
  <si>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</si>
  <si>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</si>
  <si>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</si>
  <si>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</si>
  <si>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</si>
  <si>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</si>
  <si>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</si>
  <si>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</si>
  <si>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</si>
  <si>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</si>
  <si>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</si>
  <si>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</si>
  <si>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</si>
  <si>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</si>
  <si>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</si>
  <si>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</si>
  <si>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</si>
  <si>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</si>
  <si>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</si>
  <si>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</si>
  <si>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</si>
  <si>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</si>
  <si>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</si>
  <si>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</si>
  <si>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</si>
  <si>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</si>
  <si>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</si>
  <si>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</si>
  <si>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</si>
  <si>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</si>
  <si>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</si>
  <si>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</si>
  <si>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</si>
  <si>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</si>
  <si>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</si>
  <si>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</si>
  <si>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</si>
  <si>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</si>
  <si>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</si>
  <si>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</si>
  <si>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</si>
  <si>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</si>
  <si>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</si>
  <si>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</si>
  <si>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</si>
  <si>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</si>
  <si>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</si>
  <si>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</si>
  <si>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</si>
  <si>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</si>
  <si>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</si>
  <si>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</si>
  <si>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</si>
  <si>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</si>
  <si>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</si>
  <si>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</si>
  <si>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</si>
  <si>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</si>
  <si>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</si>
  <si>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</si>
  <si>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</si>
  <si>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</si>
  <si>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</si>
  <si>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</si>
  <si>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</si>
  <si>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</si>
  <si>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</si>
  <si>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</si>
  <si>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</si>
  <si>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</si>
  <si>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</si>
  <si>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</si>
  <si>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</si>
  <si>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</si>
  <si>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</si>
  <si>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</si>
  <si>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</si>
  <si>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</si>
  <si>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</si>
  <si>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</si>
  <si>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</si>
  <si>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</si>
  <si>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</si>
  <si>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</si>
  <si>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</si>
  <si>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</si>
  <si>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</si>
  <si>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</si>
  <si>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</si>
  <si>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</si>
  <si>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</si>
  <si>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</si>
  <si>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</si>
  <si>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</si>
  <si>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</si>
  <si>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</si>
  <si>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</si>
  <si>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</si>
  <si>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</si>
  <si>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</si>
  <si>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</si>
  <si>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</si>
  <si>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</si>
  <si>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</si>
  <si>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</si>
  <si>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</si>
  <si>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</si>
  <si>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</si>
  <si>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</si>
  <si>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</si>
  <si>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</si>
  <si>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</si>
  <si>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</si>
  <si>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</si>
  <si>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</si>
  <si>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</si>
  <si>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</si>
  <si>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</si>
  <si>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</si>
  <si>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</si>
  <si>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</si>
  <si>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</si>
  <si>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</si>
  <si>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</si>
  <si>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</si>
  <si>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</si>
  <si>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</si>
  <si>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</si>
  <si>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</si>
  <si>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</si>
  <si>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</si>
  <si>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</si>
  <si>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</si>
  <si>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</si>
  <si>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</si>
  <si>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</si>
  <si>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</si>
  <si>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</si>
  <si>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</si>
  <si>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</si>
  <si>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</si>
  <si>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</si>
  <si>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</si>
  <si>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</si>
  <si>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</si>
  <si>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</si>
  <si>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</si>
  <si>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</si>
  <si>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</si>
  <si>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</si>
  <si>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</si>
  <si>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</si>
  <si>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</si>
  <si>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</si>
  <si>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</si>
  <si>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</si>
  <si>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</si>
  <si>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</si>
  <si>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</si>
  <si>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</si>
  <si>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</si>
  <si>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</si>
  <si>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</si>
  <si>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</si>
  <si>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</si>
  <si>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</si>
  <si>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</si>
  <si>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</si>
  <si>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</si>
  <si>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</si>
  <si>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</si>
  <si>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</si>
  <si>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</si>
  <si>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</si>
  <si>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</si>
  <si>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</si>
  <si>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</si>
  <si>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</si>
  <si>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</si>
  <si>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</si>
  <si>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</si>
  <si>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</si>
  <si>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</si>
  <si>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</si>
  <si>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</si>
  <si>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</si>
  <si>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</si>
  <si>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</si>
  <si>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</si>
  <si>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</si>
  <si>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</si>
  <si>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</si>
  <si>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</si>
  <si>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</si>
  <si>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</si>
  <si>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</si>
  <si>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</si>
  <si>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</si>
  <si>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</si>
  <si>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</si>
  <si>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</si>
  <si>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</si>
  <si>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</si>
  <si>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</si>
  <si>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</si>
  <si>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</si>
  <si>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</si>
  <si>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</si>
  <si>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</si>
  <si>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</si>
  <si>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</si>
  <si>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</si>
  <si>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</si>
  <si>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</si>
  <si>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</si>
  <si>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</si>
  <si>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</si>
  <si>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</si>
  <si>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</si>
  <si>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</si>
  <si>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</si>
  <si>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</si>
  <si>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</si>
  <si>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</si>
  <si>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</si>
  <si>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</si>
  <si>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</si>
  <si>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</si>
  <si>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</si>
  <si>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</si>
  <si>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</si>
  <si>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</si>
  <si>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</si>
  <si>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</si>
  <si>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</si>
  <si>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</si>
  <si>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</si>
  <si>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</si>
  <si>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</si>
  <si>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</si>
  <si>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</si>
  <si>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</si>
  <si>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</si>
  <si>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</si>
  <si>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</si>
  <si>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</si>
  <si>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</si>
  <si>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</si>
  <si>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</si>
  <si>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</si>
  <si>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</si>
  <si>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</si>
  <si>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</si>
  <si>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</si>
  <si>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</si>
  <si>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</si>
  <si>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</si>
  <si>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</si>
  <si>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</si>
  <si>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</si>
  <si>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</si>
  <si>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</si>
  <si>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</si>
  <si>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</si>
  <si>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</si>
  <si>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</si>
  <si>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</si>
  <si>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</si>
  <si>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</si>
  <si>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</si>
  <si>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</si>
  <si>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</si>
  <si>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</si>
  <si>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</si>
  <si>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</si>
  <si>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</si>
  <si>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</si>
  <si>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</si>
  <si>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</si>
  <si>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</si>
  <si>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</si>
  <si>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</si>
  <si>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</si>
  <si>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</si>
  <si>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</si>
  <si>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</si>
  <si>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</si>
  <si>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</si>
  <si>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</si>
  <si>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</si>
  <si>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</si>
  <si>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</si>
  <si>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</si>
  <si>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</si>
  <si>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</si>
  <si>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</si>
  <si>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</si>
  <si>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</si>
  <si>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</si>
  <si>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</si>
  <si>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</si>
  <si>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</si>
  <si>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</si>
  <si>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</si>
  <si>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</si>
  <si>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</si>
  <si>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</si>
  <si>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</si>
  <si>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</si>
  <si>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</si>
  <si>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</si>
  <si>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</si>
  <si>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</si>
  <si>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</si>
  <si>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</si>
  <si>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</si>
  <si>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</si>
  <si>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</si>
  <si>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</si>
  <si>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</si>
  <si>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</si>
  <si>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</si>
  <si>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</si>
  <si>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</si>
  <si>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</si>
  <si>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</si>
  <si>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</si>
  <si>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</si>
  <si>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</si>
  <si>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</si>
  <si>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</si>
  <si>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</si>
  <si>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</si>
  <si>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</si>
  <si>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</si>
  <si>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</si>
  <si>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</si>
  <si>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</si>
  <si>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</si>
  <si>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</si>
  <si>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</si>
  <si>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</si>
  <si>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</si>
  <si>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</si>
  <si>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</si>
  <si>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</si>
  <si>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</si>
  <si>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</si>
  <si>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</si>
  <si>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</si>
  <si>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</si>
  <si>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</si>
  <si>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</si>
  <si>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</si>
  <si>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</si>
  <si>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</si>
  <si>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</si>
  <si>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</si>
  <si>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</si>
  <si>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</si>
  <si>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</si>
  <si>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</si>
  <si>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</si>
  <si>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</si>
  <si>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</si>
  <si>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</si>
  <si>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</si>
  <si>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</si>
  <si>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</si>
  <si>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</si>
  <si>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</si>
  <si>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</si>
  <si>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</si>
  <si>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</si>
  <si>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</si>
  <si>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</si>
  <si>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</si>
  <si>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</si>
  <si>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</si>
  <si>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</si>
  <si>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</si>
  <si>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</si>
  <si>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</si>
  <si>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</si>
  <si>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</si>
  <si>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</si>
  <si>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</si>
  <si>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</si>
  <si>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</si>
  <si>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</si>
  <si>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</si>
  <si>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</si>
  <si>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</si>
  <si>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</si>
  <si>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</si>
  <si>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</si>
  <si>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</si>
  <si>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</si>
  <si>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</si>
  <si>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</si>
  <si>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</si>
  <si>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</si>
  <si>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</si>
  <si>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</si>
  <si>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</si>
  <si>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</si>
  <si>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</si>
  <si>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</si>
  <si>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</si>
  <si>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</si>
  <si>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</si>
  <si>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</si>
  <si>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</si>
  <si>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</si>
  <si>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</si>
  <si>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</si>
  <si>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</si>
  <si>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</si>
  <si>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</si>
  <si>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</si>
  <si>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</si>
  <si>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</si>
  <si>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</si>
  <si>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</si>
  <si>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</si>
  <si>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</si>
  <si>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</si>
  <si>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</si>
  <si>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</si>
  <si>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</si>
  <si>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</si>
  <si>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</si>
  <si>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</si>
  <si>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</si>
  <si>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</si>
  <si>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</si>
  <si>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</si>
  <si>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</si>
  <si>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</si>
  <si>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</si>
  <si>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</si>
  <si>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</si>
  <si>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</si>
  <si>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</si>
  <si>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</si>
  <si>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</si>
  <si>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</si>
  <si>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</si>
  <si>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</si>
  <si>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</si>
  <si>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</si>
  <si>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</si>
  <si>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</si>
  <si>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</si>
  <si>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</si>
  <si>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</si>
  <si>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</si>
  <si>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</si>
  <si>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</si>
  <si>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</si>
  <si>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</si>
  <si>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</si>
  <si>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</si>
  <si>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</si>
  <si>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</si>
  <si>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</si>
  <si>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</si>
  <si>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</si>
  <si>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</si>
  <si>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</si>
  <si>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</si>
  <si>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</si>
  <si>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</si>
  <si>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</si>
  <si>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</si>
  <si>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</si>
  <si>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</si>
  <si>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</si>
  <si>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</si>
  <si>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</si>
  <si>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</si>
  <si>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</si>
  <si>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</si>
  <si>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</si>
  <si>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</si>
  <si>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</si>
  <si>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</si>
  <si>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</si>
  <si>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</si>
  <si>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</si>
  <si>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</si>
  <si>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</si>
  <si>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</si>
  <si>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</si>
  <si>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</si>
  <si>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</si>
  <si>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</si>
  <si>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</si>
  <si>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</si>
  <si>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</si>
  <si>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</si>
  <si>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</si>
  <si>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</si>
  <si>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</si>
  <si>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</si>
  <si>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</si>
  <si>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</si>
  <si>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</si>
  <si>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</si>
  <si>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</si>
  <si>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</si>
  <si>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</si>
  <si>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</si>
  <si>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</si>
  <si>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</si>
  <si>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</si>
  <si>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</si>
  <si>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</si>
  <si>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</si>
  <si>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</si>
  <si>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</si>
  <si>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</si>
  <si>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</si>
  <si>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</si>
  <si>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</si>
  <si>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</si>
  <si>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</si>
  <si>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</si>
  <si>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</si>
  <si>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</si>
  <si>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</si>
  <si>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</si>
  <si>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</si>
  <si>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</si>
  <si>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</si>
  <si>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</si>
  <si>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</si>
  <si>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</si>
  <si>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</si>
  <si>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</si>
  <si>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</si>
  <si>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</si>
  <si>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</si>
  <si>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</si>
  <si>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</si>
  <si>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</si>
  <si>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</si>
  <si>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</si>
  <si>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</si>
  <si>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</si>
  <si>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</si>
  <si>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</si>
  <si>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</si>
  <si>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</si>
  <si>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</si>
  <si>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</si>
  <si>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</si>
  <si>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</si>
  <si>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</si>
  <si>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</si>
  <si>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</si>
  <si>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</si>
  <si>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</si>
  <si>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</si>
  <si>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</si>
  <si>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</si>
  <si>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</si>
  <si>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</si>
  <si>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</si>
  <si>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</si>
  <si>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</si>
  <si>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</si>
  <si>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</si>
  <si>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</si>
  <si>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</si>
  <si>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</si>
  <si>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</si>
  <si>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</si>
  <si>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</si>
  <si>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</si>
  <si>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</si>
  <si>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</si>
  <si>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</si>
  <si>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</si>
  <si>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</si>
  <si>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</si>
  <si>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</si>
  <si>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</si>
  <si>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</si>
  <si>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</si>
  <si>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</si>
  <si>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</si>
  <si>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</si>
  <si>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</si>
  <si>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</si>
  <si>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</si>
  <si>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</si>
  <si>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</si>
  <si>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</si>
  <si>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</si>
  <si>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</si>
  <si>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</si>
  <si>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</si>
  <si>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</si>
  <si>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</si>
  <si>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</si>
  <si>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</si>
  <si>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</si>
  <si>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</si>
  <si>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</si>
  <si>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</si>
  <si>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</si>
  <si>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</si>
  <si>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</si>
  <si>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</si>
  <si>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</si>
  <si>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</si>
  <si>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</si>
  <si>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</si>
  <si>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</si>
  <si>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</si>
  <si>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</si>
  <si>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</si>
  <si>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</si>
  <si>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</si>
  <si>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</si>
  <si>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</si>
  <si>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</si>
  <si>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</si>
  <si>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</si>
  <si>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</si>
  <si>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</si>
  <si>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</si>
  <si>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</si>
  <si>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</si>
  <si>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</si>
  <si>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</si>
  <si>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</si>
  <si>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</si>
  <si>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</si>
  <si>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</si>
  <si>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</si>
  <si>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</si>
  <si>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</si>
  <si>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</si>
  <si>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</si>
  <si>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</si>
  <si>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</si>
  <si>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</si>
  <si>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</si>
  <si>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</si>
  <si>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</si>
  <si>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</si>
  <si>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</si>
  <si>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</si>
  <si>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</si>
  <si>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</si>
  <si>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</si>
  <si>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</si>
  <si>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</si>
  <si>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</si>
  <si>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</si>
  <si>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</si>
  <si>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</si>
  <si>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</si>
  <si>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</si>
  <si>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</si>
  <si>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</si>
  <si>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</si>
  <si>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</si>
  <si>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</si>
  <si>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</si>
  <si>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</si>
  <si>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</si>
  <si>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</si>
  <si>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</si>
  <si>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</si>
  <si>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</si>
  <si>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</si>
  <si>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</si>
  <si>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</si>
  <si>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</si>
  <si>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</si>
  <si>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</si>
  <si>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</si>
  <si>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</si>
  <si>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</si>
  <si>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</si>
  <si>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</si>
  <si>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</si>
  <si>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</si>
  <si>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</si>
  <si>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</si>
  <si>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</si>
  <si>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</si>
  <si>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</si>
  <si>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</si>
  <si>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</si>
  <si>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</si>
  <si>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</si>
  <si>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</si>
  <si>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</si>
  <si>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</si>
  <si>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</si>
  <si>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</si>
  <si>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</si>
  <si>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</si>
  <si>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</si>
  <si>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</si>
  <si>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</si>
  <si>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</si>
  <si>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</si>
  <si>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</si>
  <si>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</si>
  <si>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</si>
  <si>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</si>
  <si>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</si>
  <si>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</si>
  <si>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</si>
  <si>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</si>
  <si>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</si>
  <si>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</si>
  <si>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</si>
  <si>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</si>
  <si>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</si>
  <si>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</si>
  <si>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</si>
  <si>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</si>
  <si>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</si>
  <si>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</si>
  <si>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</si>
  <si>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</si>
  <si>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</si>
  <si>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</si>
  <si>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</si>
  <si>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</si>
  <si>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</si>
  <si>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</si>
  <si>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</si>
  <si>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</si>
  <si>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</si>
  <si>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</si>
  <si>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</si>
  <si>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</si>
  <si>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</si>
  <si>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</si>
  <si>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</si>
  <si>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</si>
  <si>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</si>
  <si>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</si>
  <si>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</si>
  <si>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</si>
  <si>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</si>
  <si>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</si>
  <si>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</si>
  <si>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</si>
  <si>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</si>
  <si>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</si>
  <si>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</si>
  <si>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</si>
  <si>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</si>
  <si>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</si>
  <si>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</si>
  <si>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</si>
  <si>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</si>
  <si>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</si>
  <si>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</si>
  <si>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</si>
  <si>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</si>
  <si>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</si>
  <si>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</si>
  <si>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</si>
  <si>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</si>
  <si>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</si>
  <si>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</si>
  <si>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</si>
  <si>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</si>
  <si>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</si>
  <si>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</si>
  <si>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</si>
  <si>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</si>
  <si>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</si>
  <si>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</si>
  <si>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</si>
  <si>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</si>
  <si>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</si>
  <si>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</si>
  <si>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</si>
  <si>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</si>
  <si>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</si>
  <si>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</si>
  <si>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</si>
  <si>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</si>
  <si>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</si>
  <si>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</si>
  <si>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</si>
  <si>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</si>
  <si>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</si>
  <si>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</si>
  <si>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</si>
  <si>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</si>
  <si>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</si>
  <si>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</si>
  <si>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</si>
  <si>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</si>
  <si>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</si>
  <si>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</si>
  <si>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</si>
  <si>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</si>
  <si>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</si>
  <si>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</si>
  <si>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</si>
  <si>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</si>
  <si>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</si>
  <si>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</si>
  <si>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</si>
  <si>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</si>
  <si>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</si>
  <si>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</si>
  <si>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</si>
  <si>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</si>
  <si>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</si>
  <si>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</si>
  <si>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</si>
  <si>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</si>
  <si>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</si>
  <si>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</si>
  <si>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</si>
  <si>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</si>
  <si>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</si>
  <si>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</si>
  <si>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</si>
  <si>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</si>
  <si>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</si>
  <si>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</si>
  <si>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</si>
  <si>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</si>
  <si>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</si>
  <si>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</si>
  <si>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</si>
  <si>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</si>
  <si>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</si>
  <si>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</si>
  <si>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</si>
  <si>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</si>
  <si>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</si>
  <si>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</si>
  <si>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</si>
  <si>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</si>
  <si>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</si>
  <si>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</si>
  <si>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</si>
  <si>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</si>
  <si>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</si>
  <si>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</si>
  <si>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</si>
  <si>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</si>
  <si>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</si>
  <si>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</si>
  <si>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</si>
  <si>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</si>
  <si>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</si>
  <si>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</si>
  <si>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</si>
  <si>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</si>
  <si>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</si>
  <si>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</si>
  <si>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</si>
  <si>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</si>
  <si>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</si>
  <si>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</si>
  <si>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</si>
  <si>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</si>
  <si>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</si>
  <si>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</si>
  <si>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</si>
  <si>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</si>
  <si>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</si>
  <si>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</si>
  <si>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</si>
  <si>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</si>
  <si>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</si>
  <si>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</si>
  <si>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</si>
  <si>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</si>
  <si>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</si>
  <si>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</si>
  <si>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</si>
  <si>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</si>
  <si>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</si>
  <si>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</si>
  <si>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</si>
  <si>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</si>
  <si>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</si>
  <si>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</si>
  <si>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</si>
  <si>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</si>
  <si>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</si>
  <si>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</si>
  <si>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</si>
  <si>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</si>
  <si>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</si>
  <si>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</si>
  <si>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</si>
  <si>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</si>
  <si>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</si>
  <si>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</si>
  <si>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</si>
  <si>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</si>
  <si>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</si>
  <si>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</si>
  <si>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</si>
  <si>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</si>
  <si>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</si>
  <si>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</si>
  <si>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</si>
  <si>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</si>
  <si>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</si>
  <si>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</si>
  <si>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</si>
  <si>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</si>
  <si>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</si>
  <si>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</si>
  <si>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</si>
  <si>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</si>
  <si>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</si>
  <si>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</si>
  <si>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</si>
  <si>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</si>
  <si>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</si>
  <si>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</si>
  <si>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</si>
  <si>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</si>
  <si>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</si>
  <si>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</si>
  <si>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</si>
  <si>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</si>
  <si>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</si>
  <si>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</si>
  <si>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</si>
  <si>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</si>
  <si>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</si>
  <si>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</si>
  <si>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</si>
  <si>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</si>
  <si>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</si>
  <si>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</si>
  <si>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</si>
  <si>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</si>
  <si>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</si>
  <si>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</si>
  <si>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</si>
  <si>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</si>
  <si>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</si>
  <si>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</si>
  <si>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</si>
  <si>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</si>
  <si>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</si>
  <si>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</si>
  <si>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</si>
  <si>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</si>
  <si>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</si>
  <si>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</si>
  <si>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</si>
  <si>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</si>
  <si>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</si>
  <si>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</si>
  <si>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</si>
  <si>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</si>
  <si>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</si>
  <si>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</si>
  <si>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</si>
  <si>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</si>
  <si>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</si>
  <si>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</si>
  <si>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</si>
  <si>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</si>
  <si>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</si>
  <si>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</si>
  <si>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</si>
  <si>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</si>
  <si>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</si>
  <si>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</si>
  <si>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</si>
  <si>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</si>
  <si>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</si>
  <si>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</si>
  <si>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</si>
  <si>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</si>
  <si>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</si>
  <si>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</si>
  <si>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</si>
  <si>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</si>
  <si>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</si>
  <si>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</si>
  <si>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</si>
  <si>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</si>
  <si>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</si>
  <si>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</si>
  <si>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</si>
  <si>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</si>
  <si>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</si>
  <si>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</si>
  <si>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</si>
  <si>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</si>
  <si>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</si>
  <si>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</si>
  <si>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</si>
  <si>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</si>
  <si>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</si>
  <si>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</si>
  <si>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</si>
  <si>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</si>
  <si>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</si>
  <si>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</si>
  <si>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</si>
  <si>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</si>
  <si>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</si>
  <si>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</si>
  <si>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</si>
  <si>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</si>
  <si>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</si>
  <si>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</si>
  <si>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</si>
  <si>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</si>
  <si>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</si>
  <si>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</si>
  <si>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</si>
  <si>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</si>
  <si>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</si>
  <si>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</si>
  <si>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</si>
  <si>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</si>
  <si>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</si>
  <si>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</si>
  <si>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</si>
  <si>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</si>
  <si>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</si>
  <si>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</si>
  <si>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</si>
  <si>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</si>
  <si>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</si>
  <si>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</si>
  <si>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</si>
  <si>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</si>
  <si>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</si>
  <si>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</si>
  <si>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</si>
  <si>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</si>
  <si>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</si>
  <si>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</si>
  <si>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</si>
  <si>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</si>
  <si>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</si>
  <si>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</si>
  <si>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</si>
  <si>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</si>
  <si>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</si>
  <si>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</si>
  <si>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</si>
  <si>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</si>
  <si>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</si>
  <si>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</si>
  <si>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</si>
  <si>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</si>
  <si>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</si>
  <si>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</si>
  <si>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</si>
  <si>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</si>
  <si>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</si>
  <si>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</si>
  <si>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</si>
  <si>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</si>
  <si>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</si>
  <si>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</si>
  <si>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</si>
  <si>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</si>
  <si>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</si>
  <si>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</si>
  <si>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</si>
  <si>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</si>
  <si>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</si>
  <si>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</si>
  <si>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</si>
  <si>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</si>
  <si>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</si>
  <si>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</si>
  <si>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</si>
  <si>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</si>
  <si>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</si>
  <si>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</si>
  <si>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</si>
  <si>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</si>
  <si>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</si>
  <si>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</si>
  <si>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</si>
  <si>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</si>
  <si>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</si>
  <si>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</si>
  <si>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</si>
  <si>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</si>
  <si>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</si>
  <si>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</si>
  <si>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</si>
  <si>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</si>
  <si>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</si>
  <si>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</si>
  <si>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</si>
  <si>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</si>
  <si>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</si>
  <si>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</si>
  <si>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</si>
  <si>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</si>
  <si>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</si>
  <si>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</si>
  <si>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</si>
  <si>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</si>
  <si>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</si>
  <si>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</si>
  <si>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</si>
  <si>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</si>
  <si>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</si>
  <si>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</si>
  <si>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</si>
  <si>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</si>
  <si>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</si>
  <si>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</si>
  <si>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</si>
  <si>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</si>
  <si>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</si>
  <si>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</si>
  <si>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</si>
  <si>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</si>
  <si>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</si>
  <si>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</si>
  <si>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</si>
  <si>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</si>
  <si>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</si>
  <si>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</si>
  <si>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</si>
  <si>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</si>
  <si>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</si>
  <si>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</si>
  <si>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</si>
  <si>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</si>
  <si>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</si>
  <si>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</si>
  <si>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</si>
  <si>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</si>
  <si>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</si>
  <si>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</si>
  <si>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</si>
  <si>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</si>
  <si>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</si>
  <si>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</si>
  <si>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</si>
  <si>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</si>
  <si>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</si>
  <si>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</si>
  <si>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</si>
  <si>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</si>
  <si>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</si>
  <si>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</si>
  <si>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</si>
  <si>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</si>
  <si>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</si>
  <si>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</si>
  <si>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</si>
  <si>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</si>
  <si>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</si>
  <si>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</si>
  <si>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</si>
  <si>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</si>
  <si>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</si>
  <si>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</si>
  <si>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</si>
  <si>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</si>
  <si>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</si>
  <si>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</si>
  <si>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</si>
  <si>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</si>
  <si>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</si>
  <si>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</si>
  <si>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</si>
  <si>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</si>
  <si>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</si>
  <si>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</si>
  <si>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</si>
  <si>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</si>
  <si>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</si>
  <si>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</si>
  <si>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</si>
  <si>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</si>
  <si>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</si>
  <si>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</si>
  <si>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</si>
  <si>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</si>
  <si>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</si>
  <si>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</si>
  <si>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</si>
  <si>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</si>
  <si>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</si>
  <si>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</si>
  <si>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</si>
  <si>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</si>
  <si>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</si>
  <si>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</si>
  <si>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</si>
  <si>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</si>
  <si>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</si>
  <si>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</si>
  <si>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</si>
  <si>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</si>
  <si>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</si>
  <si>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</si>
  <si>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</si>
  <si>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</si>
  <si>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</si>
  <si>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</si>
  <si>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</si>
  <si>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</si>
  <si>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</si>
  <si>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</si>
  <si>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</si>
  <si>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</si>
  <si>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</si>
  <si>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</si>
  <si>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</si>
  <si>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</si>
  <si>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</si>
  <si>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</si>
  <si>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</si>
  <si>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</si>
  <si>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</si>
  <si>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</si>
  <si>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</si>
  <si>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</si>
  <si>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</si>
  <si>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</si>
  <si>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</si>
  <si>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</si>
  <si>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</si>
  <si>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</si>
  <si>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</si>
  <si>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</si>
  <si>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</si>
  <si>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</si>
  <si>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</si>
  <si>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</si>
  <si>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</si>
  <si>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</si>
  <si>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</si>
  <si>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</si>
  <si>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</si>
  <si>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</si>
  <si>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</si>
  <si>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</si>
  <si>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</si>
  <si>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</si>
  <si>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</si>
  <si>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</si>
  <si>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</si>
  <si>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</si>
  <si>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</si>
  <si>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</si>
  <si>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</si>
  <si>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</si>
  <si>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</si>
  <si>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</si>
  <si>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</si>
  <si>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</si>
  <si>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</si>
  <si>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</si>
  <si>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</si>
  <si>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</si>
  <si>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</si>
  <si>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</si>
  <si>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</si>
  <si>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</si>
  <si>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</si>
  <si>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</si>
  <si>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</si>
  <si>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</si>
  <si>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</si>
  <si>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</si>
  <si>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</si>
  <si>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</si>
  <si>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</si>
  <si>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</si>
  <si>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</si>
  <si>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</si>
  <si>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</si>
  <si>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</si>
  <si>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</si>
  <si>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</si>
  <si>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</si>
  <si>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</si>
  <si>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</si>
  <si>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</si>
  <si>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</si>
  <si>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</si>
  <si>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</si>
  <si>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</si>
  <si>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</si>
  <si>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</si>
  <si>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</si>
  <si>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</si>
  <si>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</si>
  <si>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</si>
  <si>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</si>
  <si>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</si>
  <si>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</si>
  <si>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</si>
  <si>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</si>
  <si>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</si>
  <si>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</si>
  <si>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</si>
  <si>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</si>
  <si>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</si>
  <si>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</si>
  <si>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</si>
  <si>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</si>
  <si>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</si>
  <si>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</si>
  <si>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</si>
  <si>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</si>
  <si>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</si>
  <si>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</si>
  <si>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</si>
  <si>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</si>
  <si>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</si>
  <si>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</si>
  <si>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</si>
  <si>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</si>
  <si>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</si>
  <si>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</si>
  <si>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</si>
  <si>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</si>
  <si>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</si>
  <si>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</si>
  <si>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</si>
  <si>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</si>
  <si>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</si>
  <si>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</si>
  <si>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</si>
  <si>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</si>
  <si>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</si>
  <si>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</si>
  <si>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</si>
  <si>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</si>
  <si>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</si>
  <si>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</si>
  <si>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</si>
  <si>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</si>
  <si>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</si>
  <si>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</si>
  <si>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</si>
  <si>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</si>
  <si>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</si>
  <si>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</si>
  <si>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</si>
  <si>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</si>
  <si>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</si>
  <si>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</si>
  <si>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</si>
  <si>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</si>
  <si>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</si>
  <si>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</si>
  <si>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</si>
  <si>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</si>
  <si>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</si>
  <si>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</si>
  <si>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</si>
  <si>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</si>
  <si>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</si>
  <si>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</si>
  <si>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</si>
  <si>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</si>
  <si>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</si>
  <si>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</si>
  <si>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</si>
  <si>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</si>
  <si>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</si>
  <si>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</si>
  <si>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</si>
  <si>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</si>
  <si>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</si>
  <si>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</si>
  <si>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</si>
  <si>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</si>
  <si>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</si>
  <si>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</si>
  <si>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</si>
  <si>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</si>
  <si>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</si>
  <si>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</si>
  <si>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</si>
  <si>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</si>
  <si>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</si>
  <si>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</si>
  <si>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</si>
  <si>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</si>
  <si>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</si>
  <si>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</si>
  <si>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</si>
  <si>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</si>
  <si>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</si>
  <si>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</si>
  <si>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</si>
  <si>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</si>
  <si>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</si>
  <si>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</si>
  <si>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</si>
  <si>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</si>
  <si>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</si>
  <si>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</si>
  <si>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</si>
  <si>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</si>
  <si>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</si>
  <si>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</si>
  <si>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</si>
  <si>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</si>
  <si>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</si>
  <si>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</si>
  <si>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</si>
  <si>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</si>
  <si>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</si>
  <si>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</si>
  <si>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</si>
  <si>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</si>
  <si>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</si>
  <si>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</si>
  <si>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</si>
  <si>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</si>
  <si>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</si>
  <si>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</si>
  <si>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</si>
  <si>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</si>
  <si>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</si>
  <si>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</si>
  <si>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</si>
  <si>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</si>
  <si>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</si>
  <si>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</si>
  <si>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</si>
  <si>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</si>
  <si>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</si>
  <si>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</si>
  <si>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</si>
  <si>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</si>
  <si>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</si>
  <si>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</si>
  <si>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</si>
  <si>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</si>
  <si>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</si>
  <si>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</si>
  <si>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</si>
  <si>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</si>
  <si>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</si>
  <si>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</si>
  <si>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</si>
  <si>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</si>
  <si>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</si>
  <si>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</si>
  <si>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</si>
  <si>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</si>
  <si>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</si>
  <si>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</si>
  <si>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</si>
  <si>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</si>
  <si>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</si>
  <si>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</si>
  <si>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</si>
  <si>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</si>
  <si>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</si>
  <si>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</si>
  <si>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</si>
  <si>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</si>
  <si>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</si>
  <si>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</si>
  <si>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</si>
  <si>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</si>
  <si>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</si>
  <si>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</si>
  <si>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</si>
  <si>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</si>
  <si>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</si>
  <si>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</si>
  <si>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</si>
  <si>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</si>
  <si>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</si>
  <si>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</si>
  <si>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</si>
  <si>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</si>
  <si>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</si>
  <si>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</si>
  <si>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</si>
  <si>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</si>
  <si>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</si>
  <si>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</si>
  <si>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</si>
  <si>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</si>
  <si>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</si>
  <si>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</si>
  <si>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</si>
  <si>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</si>
  <si>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</si>
  <si>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</si>
  <si>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</si>
  <si>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</si>
  <si>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</si>
  <si>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</si>
  <si>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</si>
  <si>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</si>
  <si>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</si>
  <si>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</si>
  <si>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</si>
  <si>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</si>
  <si>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</si>
  <si>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</si>
  <si>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</si>
  <si>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</si>
  <si>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</si>
  <si>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</si>
  <si>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</si>
  <si>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</si>
  <si>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</si>
  <si>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</si>
  <si>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</si>
  <si>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</si>
  <si>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</si>
  <si>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</si>
  <si>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</si>
  <si>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</si>
  <si>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</si>
  <si>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</si>
  <si>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</si>
  <si>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</si>
  <si>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</si>
  <si>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</si>
  <si>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</si>
  <si>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</si>
  <si>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</si>
  <si>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</si>
  <si>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</si>
  <si>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</si>
  <si>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</si>
  <si>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</si>
  <si>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</si>
  <si>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</si>
  <si>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</si>
  <si>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</si>
  <si>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</si>
  <si>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</si>
  <si>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</si>
  <si>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</si>
  <si>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</si>
  <si>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</si>
  <si>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</si>
  <si>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</si>
  <si>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</si>
  <si>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</si>
  <si>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</si>
  <si>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</si>
  <si>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</si>
  <si>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</si>
  <si>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</si>
  <si>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</si>
  <si>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</si>
  <si>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</si>
  <si>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</si>
  <si>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</si>
  <si>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</si>
  <si>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</si>
  <si>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</si>
  <si>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</si>
  <si>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</si>
  <si>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</si>
  <si>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</si>
  <si>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</si>
  <si>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</si>
  <si>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</si>
  <si>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</si>
  <si>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</si>
  <si>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</si>
  <si>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</si>
  <si>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</si>
  <si>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</si>
  <si>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</si>
  <si>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</si>
  <si>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</si>
  <si>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</si>
  <si>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</si>
  <si>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</si>
  <si>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</si>
  <si>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</si>
  <si>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</si>
  <si>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</si>
  <si>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</si>
  <si>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</si>
  <si>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</si>
  <si>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</si>
  <si>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</si>
  <si>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</si>
  <si>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</si>
  <si>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</si>
  <si>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</si>
  <si>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</si>
  <si>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</si>
  <si>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</si>
  <si>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</si>
  <si>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</si>
  <si>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</si>
  <si>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</si>
  <si>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</si>
  <si>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</si>
  <si>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</si>
  <si>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</si>
  <si>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</si>
  <si>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</si>
  <si>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</si>
  <si>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</si>
  <si>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</si>
  <si>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</si>
  <si>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</si>
  <si>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</si>
  <si>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</si>
  <si>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</si>
  <si>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</si>
  <si>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</si>
  <si>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</si>
  <si>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</si>
  <si>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</si>
  <si>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</si>
  <si>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</si>
  <si>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</si>
  <si>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</si>
  <si>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</si>
  <si>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</si>
  <si>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</si>
  <si>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</si>
  <si>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</si>
  <si>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</si>
  <si>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</si>
  <si>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</si>
  <si>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</si>
  <si>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</si>
  <si>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</si>
  <si>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</si>
  <si>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</si>
  <si>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</si>
  <si>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</si>
  <si>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</si>
  <si>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</si>
  <si>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</si>
  <si>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</si>
  <si>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</si>
  <si>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</si>
  <si>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</si>
  <si>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</si>
  <si>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</si>
  <si>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</si>
  <si>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</si>
  <si>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</si>
  <si>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</si>
  <si>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</si>
  <si>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</si>
  <si>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</si>
  <si>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</si>
  <si>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</si>
  <si>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</si>
  <si>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</si>
  <si>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</si>
  <si>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</si>
  <si>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</si>
  <si>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</si>
  <si>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</si>
  <si>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</si>
  <si>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</si>
  <si>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</si>
  <si>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</si>
  <si>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</si>
  <si>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</si>
  <si>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</si>
  <si>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</si>
  <si>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</si>
  <si>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</si>
  <si>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</si>
  <si>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</si>
  <si>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</si>
  <si>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</si>
  <si>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</si>
  <si>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</si>
  <si>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</si>
  <si>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</si>
  <si>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</si>
  <si>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</si>
  <si>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</si>
  <si>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</si>
  <si>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</si>
  <si>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</si>
  <si>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</si>
  <si>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</si>
  <si>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</si>
  <si>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</si>
  <si>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</si>
  <si>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</si>
  <si>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</si>
  <si>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</si>
  <si>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</si>
  <si>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</si>
  <si>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</si>
  <si>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</si>
  <si>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</si>
  <si>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</si>
  <si>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</si>
  <si>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</si>
  <si>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</si>
  <si>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</si>
  <si>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</si>
  <si>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</si>
  <si>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</si>
  <si>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</si>
  <si>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</si>
  <si>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</si>
  <si>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</si>
  <si>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</si>
  <si>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</si>
  <si>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</si>
  <si>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</si>
  <si>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</si>
  <si>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</si>
  <si>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</si>
  <si>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</si>
  <si>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</si>
  <si>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</si>
  <si>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</si>
  <si>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</si>
  <si>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</si>
  <si>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</si>
  <si>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</si>
  <si>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</si>
  <si>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</si>
  <si>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</si>
  <si>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</si>
  <si>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</si>
  <si>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</si>
  <si>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</si>
  <si>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</si>
  <si>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</si>
  <si>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</si>
  <si>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</si>
  <si>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</si>
  <si>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</si>
  <si>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</si>
  <si>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</si>
  <si>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</si>
  <si>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</si>
  <si>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</si>
  <si>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</si>
  <si>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</si>
  <si>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</si>
  <si>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</si>
  <si>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</si>
  <si>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</si>
  <si>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</si>
  <si>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</si>
  <si>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</si>
  <si>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</si>
  <si>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</si>
  <si>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</si>
  <si>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</si>
  <si>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</si>
  <si>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</si>
  <si>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</si>
  <si>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</si>
  <si>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</si>
  <si>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</si>
  <si>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</si>
  <si>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</si>
  <si>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</si>
  <si>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</si>
  <si>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</si>
  <si>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</si>
  <si>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</si>
  <si>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</si>
  <si>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</si>
  <si>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</si>
  <si>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</si>
  <si>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</si>
  <si>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</si>
  <si>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</si>
  <si>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</si>
  <si>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</si>
  <si>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</si>
  <si>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</si>
  <si>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</si>
  <si>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</si>
  <si>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</si>
  <si>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</si>
  <si>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</si>
  <si>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</si>
  <si>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</si>
  <si>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</si>
  <si>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</si>
  <si>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</si>
  <si>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</si>
  <si>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</si>
  <si>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</si>
  <si>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</si>
  <si>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</si>
  <si>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</si>
  <si>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</si>
  <si>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</si>
  <si>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</si>
  <si>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</si>
  <si>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</si>
  <si>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</si>
  <si>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</si>
  <si>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</si>
  <si>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</si>
  <si>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</si>
  <si>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</si>
  <si>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</si>
  <si>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</si>
  <si>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</si>
  <si>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</si>
  <si>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</si>
  <si>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</si>
  <si>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</si>
  <si>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</si>
  <si>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</si>
  <si>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</si>
  <si>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</si>
  <si>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</si>
  <si>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</si>
  <si>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</si>
  <si>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</si>
  <si>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</si>
  <si>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</si>
  <si>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</si>
  <si>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</si>
  <si>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</si>
  <si>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</si>
  <si>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</si>
  <si>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</si>
  <si>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</si>
  <si>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</si>
  <si>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</si>
  <si>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</si>
  <si>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</si>
  <si>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</si>
  <si>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</si>
  <si>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</si>
  <si>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</si>
  <si>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</si>
  <si>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</si>
  <si>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</si>
  <si>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</si>
  <si>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</si>
  <si>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</si>
  <si>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</si>
  <si>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</si>
  <si>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</si>
  <si>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</si>
  <si>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</si>
  <si>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</si>
  <si>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</si>
  <si>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</si>
  <si>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</si>
  <si>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</si>
  <si>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</si>
  <si>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</si>
  <si>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</si>
  <si>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</si>
  <si>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</si>
  <si>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</si>
  <si>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</si>
  <si>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</si>
  <si>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</si>
  <si>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</si>
  <si>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</si>
  <si>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</si>
  <si>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</si>
  <si>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</si>
  <si>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</si>
  <si>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</si>
  <si>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</si>
  <si>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</si>
  <si>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</si>
  <si>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</si>
  <si>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</si>
  <si>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</si>
  <si>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</si>
  <si>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</si>
  <si>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</si>
  <si>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</si>
  <si>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</si>
  <si>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</si>
  <si>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</si>
  <si>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</si>
  <si>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</si>
  <si>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</si>
  <si>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</si>
  <si>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</si>
  <si>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</si>
  <si>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</si>
  <si>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</si>
  <si>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</si>
  <si>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</si>
  <si>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</si>
  <si>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</si>
  <si>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</si>
  <si>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</si>
  <si>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</si>
  <si>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</si>
  <si>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</si>
  <si>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</si>
  <si>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</si>
  <si>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</si>
  <si>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</si>
  <si>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</si>
  <si>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</si>
  <si>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</si>
  <si>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</si>
  <si>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</si>
  <si>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</si>
  <si>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</si>
  <si>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</si>
  <si>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</si>
  <si>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</si>
  <si>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</si>
  <si>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</si>
  <si>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</si>
  <si>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</si>
  <si>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</si>
  <si>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</si>
  <si>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</si>
  <si>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</si>
  <si>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</si>
  <si>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</si>
  <si>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</si>
  <si>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</si>
  <si>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</si>
  <si>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</si>
  <si>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</si>
  <si>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</si>
  <si>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</si>
  <si>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</si>
  <si>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</si>
  <si>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</si>
  <si>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</si>
  <si>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</si>
  <si>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</si>
  <si>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</si>
  <si>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</si>
  <si>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</si>
  <si>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</si>
  <si>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</si>
  <si>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</si>
  <si>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</si>
  <si>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</si>
  <si>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</si>
  <si>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</si>
  <si>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</si>
  <si>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</si>
  <si>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</si>
  <si>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</si>
  <si>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</si>
  <si>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</si>
  <si>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</si>
  <si>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</si>
  <si>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</si>
  <si>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</si>
  <si>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</si>
  <si>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</si>
  <si>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</si>
  <si>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</si>
  <si>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</si>
  <si>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</si>
  <si>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</si>
  <si>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</si>
  <si>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</si>
  <si>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</si>
  <si>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</si>
  <si>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</si>
  <si>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</si>
  <si>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</si>
  <si>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</si>
  <si>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</si>
  <si>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</si>
  <si>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</si>
  <si>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</si>
  <si>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</si>
  <si>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</si>
  <si>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</si>
  <si>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</si>
  <si>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</si>
  <si>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</si>
  <si>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</si>
  <si>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</si>
  <si>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</si>
  <si>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</si>
  <si>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</si>
  <si>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</si>
  <si>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</si>
  <si>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</si>
  <si>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</si>
  <si>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</si>
  <si>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</si>
  <si>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</si>
  <si>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</si>
  <si>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</si>
  <si>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</si>
  <si>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</si>
  <si>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</si>
  <si>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</si>
  <si>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</si>
  <si>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</si>
  <si>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</si>
  <si>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</si>
  <si>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</si>
  <si>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</si>
  <si>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</si>
  <si>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</si>
  <si>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</si>
  <si>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</si>
  <si>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</si>
  <si>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</si>
  <si>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</si>
  <si>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</si>
  <si>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</si>
  <si>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</si>
  <si>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</si>
  <si>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</si>
  <si>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</si>
  <si>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</si>
  <si>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</si>
  <si>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</si>
  <si>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</si>
  <si>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</si>
  <si>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</si>
  <si>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</si>
  <si>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</si>
  <si>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</si>
  <si>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</si>
  <si>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</si>
  <si>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</si>
  <si>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</si>
  <si>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</si>
  <si>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</si>
  <si>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</si>
  <si>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</si>
  <si>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</si>
  <si>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</si>
  <si>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</si>
  <si>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</si>
  <si>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</si>
  <si>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</si>
  <si>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</si>
  <si>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</si>
  <si>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</si>
  <si>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</si>
  <si>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</si>
  <si>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</si>
  <si>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</si>
  <si>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</si>
  <si>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</si>
  <si>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</si>
  <si>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</si>
  <si>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</si>
  <si>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</si>
  <si>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</si>
  <si>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</si>
  <si>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</si>
  <si>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</si>
  <si>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</si>
  <si>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</si>
  <si>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</si>
  <si>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</si>
  <si>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</si>
  <si>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</si>
  <si>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</si>
  <si>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</si>
  <si>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</si>
  <si>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</si>
  <si>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</si>
  <si>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</si>
  <si>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</si>
  <si>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</si>
  <si>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</si>
  <si>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</si>
  <si>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</si>
  <si>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</si>
  <si>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</si>
  <si>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</si>
  <si>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</si>
  <si>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</si>
  <si>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</si>
  <si>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</si>
  <si>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</si>
  <si>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</si>
  <si>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</si>
  <si>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</si>
  <si>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</si>
  <si>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</si>
  <si>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</si>
  <si>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</si>
  <si>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</si>
  <si>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</si>
  <si>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</si>
  <si>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</si>
  <si>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</si>
  <si>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</si>
  <si>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</si>
  <si>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</si>
  <si>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</si>
  <si>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</si>
  <si>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</si>
  <si>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</si>
  <si>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</si>
  <si>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</si>
  <si>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</si>
  <si>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</si>
  <si>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</si>
  <si>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</si>
  <si>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</si>
  <si>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</si>
  <si>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</si>
  <si>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</si>
  <si>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</si>
  <si>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</si>
  <si>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</si>
  <si>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</si>
  <si>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</si>
  <si>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</si>
  <si>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</si>
  <si>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</si>
  <si>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</si>
  <si>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</si>
  <si>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</si>
  <si>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</si>
  <si>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</si>
  <si>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</si>
  <si>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</si>
  <si>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</si>
  <si>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</si>
  <si>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</si>
  <si>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</si>
  <si>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</si>
  <si>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</si>
  <si>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</si>
  <si>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</si>
  <si>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</si>
  <si>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</si>
  <si>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</si>
  <si>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</si>
  <si>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</si>
  <si>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</si>
  <si>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</si>
  <si>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</si>
  <si>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</si>
  <si>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</si>
  <si>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</si>
  <si>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</si>
  <si>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</si>
  <si>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</si>
  <si>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</si>
  <si>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</si>
  <si>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</si>
  <si>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</si>
  <si>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</si>
  <si>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</si>
  <si>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</si>
  <si>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</si>
  <si>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</si>
  <si>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</si>
  <si>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</si>
  <si>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</si>
  <si>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</si>
  <si>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</si>
  <si>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</si>
  <si>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</si>
  <si>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</si>
  <si>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</si>
  <si>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</si>
  <si>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</si>
  <si>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</si>
  <si>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</si>
  <si>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</si>
  <si>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</si>
  <si>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</si>
  <si>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</si>
  <si>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</si>
  <si>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</si>
  <si>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</si>
  <si>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</si>
  <si>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</si>
  <si>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</si>
  <si>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</si>
  <si>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</si>
  <si>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</si>
  <si>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</si>
  <si>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</si>
  <si>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</si>
  <si>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</si>
  <si>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</si>
  <si>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</si>
  <si>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</si>
  <si>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</si>
  <si>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</si>
  <si>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</si>
  <si>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</si>
  <si>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</si>
  <si>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</si>
  <si>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</si>
  <si>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</si>
  <si>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</si>
  <si>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</si>
  <si>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</si>
  <si>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</si>
  <si>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</si>
  <si>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</si>
  <si>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</si>
  <si>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</si>
  <si>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</si>
  <si>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</si>
  <si>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</si>
  <si>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</si>
  <si>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</si>
  <si>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</si>
  <si>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</si>
  <si>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</si>
  <si>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</si>
  <si>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</si>
  <si>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</si>
  <si>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</si>
  <si>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</si>
  <si>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</si>
  <si>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</si>
  <si>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</si>
  <si>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</si>
  <si>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</si>
  <si>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</si>
  <si>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</si>
  <si>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</si>
  <si>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</si>
  <si>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</si>
  <si>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</si>
  <si>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</si>
  <si>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</si>
  <si>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</si>
  <si>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</si>
  <si>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</si>
  <si>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</si>
  <si>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</si>
  <si>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</si>
  <si>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</si>
  <si>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</si>
  <si>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</si>
  <si>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</si>
  <si>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</si>
  <si>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</si>
  <si>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</si>
  <si>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</si>
  <si>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</si>
  <si>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</si>
  <si>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</si>
  <si>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</si>
  <si>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</si>
  <si>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</si>
  <si>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</si>
  <si>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</si>
  <si>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</si>
  <si>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</si>
  <si>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</si>
  <si>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</si>
  <si>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</si>
  <si>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</si>
  <si>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</si>
  <si>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</si>
  <si>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</si>
  <si>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</si>
  <si>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</si>
  <si>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</si>
  <si>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</si>
  <si>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</si>
  <si>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</si>
  <si>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</si>
  <si>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</si>
  <si>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</si>
  <si>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</si>
  <si>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</si>
  <si>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</si>
  <si>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</si>
  <si>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</si>
  <si>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</si>
  <si>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</si>
  <si>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</si>
  <si>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</si>
  <si>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</si>
  <si>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</si>
  <si>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</si>
  <si>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</si>
  <si>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</si>
  <si>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</si>
  <si>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</si>
  <si>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</si>
  <si>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</si>
  <si>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</si>
  <si>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</si>
  <si>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</si>
  <si>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</si>
  <si>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</si>
  <si>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</si>
  <si>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</si>
  <si>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</si>
  <si>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</si>
  <si>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</si>
  <si>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</si>
  <si>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</si>
  <si>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</si>
  <si>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</si>
  <si>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</si>
  <si>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</si>
  <si>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</si>
  <si>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</si>
  <si>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</si>
  <si>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</si>
  <si>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</si>
  <si>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</si>
  <si>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</si>
  <si>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</si>
  <si>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</si>
  <si>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</si>
  <si>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</si>
  <si>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</si>
  <si>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</si>
  <si>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</si>
  <si>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</si>
  <si>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</si>
  <si>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</si>
  <si>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</si>
  <si>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</si>
  <si>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</si>
  <si>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</si>
  <si>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</si>
  <si>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</si>
  <si>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</si>
  <si>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</si>
  <si>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</si>
  <si>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</si>
  <si>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</si>
  <si>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</si>
  <si>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</si>
  <si>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</si>
  <si>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</si>
  <si>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</si>
  <si>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</si>
  <si>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</si>
  <si>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</si>
  <si>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</si>
  <si>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</si>
  <si>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</si>
  <si>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</si>
  <si>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</si>
  <si>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</si>
  <si>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</si>
  <si>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</si>
  <si>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</si>
  <si>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</si>
  <si>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</si>
  <si>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</si>
  <si>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</si>
  <si>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</si>
  <si>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</si>
  <si>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</si>
  <si>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</si>
  <si>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</si>
  <si>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</si>
  <si>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</si>
  <si>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</si>
  <si>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</si>
  <si>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</si>
  <si>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</si>
  <si>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</si>
  <si>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</si>
  <si>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</si>
  <si>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</si>
  <si>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</si>
  <si>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</si>
  <si>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</si>
  <si>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</si>
  <si>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</si>
  <si>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</si>
  <si>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</si>
  <si>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</si>
  <si>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</si>
  <si>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</si>
  <si>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</si>
  <si>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</si>
  <si>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</si>
  <si>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</si>
  <si>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</si>
  <si>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</si>
  <si>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</si>
  <si>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</si>
  <si>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</si>
  <si>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</si>
  <si>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</si>
  <si>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</si>
  <si>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</si>
  <si>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</si>
  <si>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</si>
  <si>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</si>
  <si>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</si>
  <si>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</si>
  <si>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</si>
  <si>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</si>
  <si>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</si>
  <si>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</si>
  <si>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</si>
  <si>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</si>
  <si>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</si>
  <si>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</si>
  <si>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</si>
  <si>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</si>
  <si>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</si>
  <si>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</si>
  <si>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</si>
  <si>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</si>
  <si>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</si>
  <si>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</si>
  <si>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</si>
  <si>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</si>
  <si>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</si>
  <si>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</si>
  <si>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</si>
  <si>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</si>
  <si>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</si>
  <si>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</si>
  <si>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</si>
  <si>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</si>
  <si>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</si>
  <si>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</si>
  <si>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</si>
  <si>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</si>
  <si>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</si>
  <si>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</si>
  <si>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</si>
  <si>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</si>
  <si>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</si>
  <si>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</si>
  <si>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</si>
  <si>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</si>
  <si>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</si>
  <si>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</si>
  <si>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</si>
  <si>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</si>
  <si>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</si>
  <si>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</si>
  <si>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</si>
  <si>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</si>
  <si>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</si>
  <si>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</si>
  <si>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</si>
  <si>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</si>
  <si>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</si>
  <si>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</si>
  <si>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</si>
  <si>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</si>
  <si>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</si>
  <si>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</si>
  <si>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</si>
  <si>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</si>
  <si>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</si>
  <si>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</si>
  <si>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</si>
  <si>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</si>
  <si>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</si>
  <si>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</si>
  <si>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</si>
  <si>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</si>
  <si>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</si>
  <si>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</si>
  <si>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</si>
  <si>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</si>
  <si>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</si>
  <si>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</si>
  <si>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</si>
  <si>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</si>
  <si>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</si>
  <si>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</si>
  <si>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</si>
  <si>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</si>
  <si>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</si>
  <si>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</si>
  <si>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</si>
  <si>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</si>
  <si>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</si>
  <si>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</si>
  <si>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</si>
  <si>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</si>
  <si>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</si>
  <si>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</si>
  <si>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</si>
  <si>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</si>
  <si>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</si>
  <si>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</si>
  <si>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</si>
  <si>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</si>
  <si>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</si>
  <si>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</si>
  <si>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</si>
  <si>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</si>
  <si>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</si>
  <si>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</si>
  <si>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</si>
  <si>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</si>
  <si>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</si>
  <si>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</si>
  <si>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</si>
  <si>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</si>
  <si>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</si>
  <si>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</si>
  <si>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</si>
  <si>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</si>
  <si>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</si>
  <si>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</si>
  <si>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</si>
  <si>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</si>
  <si>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</si>
  <si>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</si>
  <si>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</si>
  <si>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</si>
  <si>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</si>
  <si>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</si>
  <si>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</si>
  <si>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</si>
  <si>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</si>
  <si>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</si>
  <si>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</si>
  <si>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</si>
  <si>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</si>
  <si>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</si>
  <si>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</si>
  <si>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</si>
  <si>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</si>
  <si>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</si>
  <si>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</si>
  <si>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</si>
  <si>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</si>
  <si>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</si>
  <si>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</si>
  <si>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</si>
  <si>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</si>
  <si>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</si>
  <si>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</si>
  <si>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</si>
  <si>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</si>
  <si>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</si>
  <si>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</si>
  <si>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</si>
  <si>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</si>
  <si>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</si>
  <si>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</si>
  <si>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</si>
  <si>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</si>
  <si>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</si>
  <si>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</si>
  <si>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</si>
  <si>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</si>
  <si>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</si>
  <si>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</si>
  <si>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</si>
  <si>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</si>
  <si>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</si>
  <si>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</si>
  <si>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</si>
  <si>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</si>
  <si>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</si>
  <si>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</si>
  <si>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</si>
  <si>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</si>
  <si>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</si>
  <si>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</si>
  <si>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</si>
  <si>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</si>
  <si>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</si>
  <si>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</si>
  <si>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</si>
  <si>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</si>
  <si>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</si>
  <si>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</si>
  <si>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</si>
  <si>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</si>
  <si>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</si>
  <si>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</si>
  <si>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</si>
  <si>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</si>
  <si>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</si>
  <si>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</si>
  <si>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</si>
  <si>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</si>
  <si>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</si>
  <si>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</si>
  <si>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</si>
  <si>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</si>
  <si>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</si>
  <si>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</si>
  <si>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</si>
  <si>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</si>
  <si>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</si>
  <si>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</si>
  <si>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</si>
  <si>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</si>
  <si>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</si>
  <si>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</si>
  <si>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</si>
  <si>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</si>
  <si>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</si>
  <si>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</si>
  <si>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</si>
  <si>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</si>
  <si>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</si>
  <si>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</si>
  <si>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</si>
  <si>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</si>
  <si>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</si>
  <si>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</si>
  <si>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</si>
  <si>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</si>
  <si>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</si>
  <si>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</si>
  <si>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</si>
  <si>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</si>
  <si>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</si>
  <si>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</si>
  <si>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</si>
  <si>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</si>
  <si>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</si>
  <si>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</si>
  <si>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</si>
  <si>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</si>
  <si>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</si>
  <si>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</si>
  <si>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</si>
  <si>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</si>
  <si>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</si>
  <si>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</si>
  <si>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</si>
  <si>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</si>
  <si>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</si>
  <si>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</si>
  <si>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</si>
  <si>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</si>
  <si>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</si>
  <si>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</si>
  <si>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</si>
  <si>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</si>
  <si>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</si>
  <si>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</si>
  <si>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</si>
  <si>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</si>
  <si>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</si>
  <si>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</si>
  <si>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</si>
  <si>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</si>
  <si>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</si>
  <si>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</si>
  <si>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</si>
  <si>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</si>
  <si>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</si>
  <si>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</si>
  <si>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</si>
  <si>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</si>
  <si>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</si>
  <si>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</si>
  <si>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</si>
  <si>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</si>
  <si>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</si>
  <si>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</si>
  <si>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</si>
  <si>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</si>
  <si>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</si>
  <si>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</si>
  <si>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</si>
  <si>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</si>
  <si>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</si>
  <si>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</si>
  <si>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</si>
  <si>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</si>
  <si>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</si>
  <si>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</si>
  <si>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</si>
  <si>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</si>
  <si>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</si>
  <si>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</si>
  <si>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</si>
  <si>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</si>
  <si>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</si>
  <si>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</si>
  <si>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</si>
  <si>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</si>
  <si>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</si>
  <si>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</si>
  <si>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</si>
  <si>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</si>
  <si>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</si>
  <si>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</si>
  <si>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</si>
  <si>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</si>
  <si>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</si>
  <si>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</si>
  <si>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</si>
  <si>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</si>
  <si>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</si>
  <si>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</si>
  <si>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</si>
  <si>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</si>
  <si>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</si>
  <si>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</si>
  <si>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</si>
  <si>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</si>
  <si>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</si>
  <si>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</si>
  <si>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</si>
  <si>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</si>
  <si>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</si>
  <si>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</si>
  <si>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</si>
  <si>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</si>
  <si>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</si>
  <si>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</si>
  <si>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</si>
  <si>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</si>
  <si>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</si>
  <si>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</si>
  <si>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</si>
  <si>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</si>
  <si>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</si>
  <si>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</si>
  <si>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</si>
  <si>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</si>
  <si>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</si>
  <si>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</si>
  <si>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</si>
  <si>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</si>
  <si>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</si>
  <si>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</si>
  <si>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</si>
  <si>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</si>
  <si>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</si>
  <si>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</si>
  <si>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</si>
  <si>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</si>
  <si>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</si>
  <si>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</si>
  <si>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</si>
  <si>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</si>
  <si>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</si>
  <si>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</si>
  <si>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</si>
  <si>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</si>
  <si>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</si>
  <si>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</si>
  <si>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</si>
  <si>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</si>
  <si>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</si>
  <si>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</si>
  <si>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</si>
  <si>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</si>
  <si>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</si>
  <si>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</si>
  <si>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</si>
  <si>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</si>
  <si>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</si>
  <si>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</si>
  <si>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</si>
  <si>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</si>
  <si>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</si>
  <si>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</si>
  <si>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</si>
  <si>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</si>
  <si>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</si>
  <si>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</si>
  <si>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</si>
  <si>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</si>
  <si>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</si>
  <si>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</si>
  <si>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</si>
  <si>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</si>
  <si>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</si>
  <si>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</si>
  <si>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</si>
  <si>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</si>
  <si>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</si>
  <si>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</si>
  <si>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</si>
  <si>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</si>
  <si>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</si>
  <si>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</si>
  <si>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</si>
  <si>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</si>
  <si>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</si>
  <si>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</si>
  <si>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</si>
  <si>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</si>
  <si>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</si>
  <si>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</si>
  <si>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</si>
  <si>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</si>
  <si>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</si>
  <si>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</si>
  <si>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</si>
  <si>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</si>
  <si>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</si>
  <si>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</si>
  <si>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</si>
  <si>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</si>
  <si>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</si>
  <si>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</si>
  <si>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</si>
  <si>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</si>
  <si>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</si>
  <si>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</si>
  <si>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</si>
  <si>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</si>
  <si>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</si>
  <si>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</si>
  <si>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</si>
  <si>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</si>
  <si>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</si>
  <si>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</si>
  <si>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</si>
  <si>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</si>
  <si>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</si>
  <si>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</si>
  <si>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</si>
  <si>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</si>
  <si>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</si>
  <si>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</si>
  <si>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</si>
  <si>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</si>
  <si>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</si>
  <si>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</si>
  <si>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</si>
  <si>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</si>
  <si>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</si>
  <si>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</si>
  <si>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</si>
  <si>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</si>
  <si>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</si>
  <si>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</si>
  <si>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</si>
  <si>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</si>
  <si>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</si>
  <si>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</si>
  <si>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</si>
  <si>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</si>
  <si>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</si>
  <si>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</si>
  <si>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</si>
  <si>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</si>
  <si>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</si>
  <si>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</si>
  <si>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</si>
  <si>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</si>
  <si>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</si>
  <si>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</si>
  <si>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</si>
  <si>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</si>
  <si>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</si>
  <si>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</si>
  <si>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</si>
  <si>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</si>
  <si>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</si>
  <si>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</si>
  <si>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</si>
  <si>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</si>
  <si>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</si>
  <si>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</si>
  <si>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</si>
  <si>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</si>
  <si>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</si>
  <si>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</si>
  <si>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</si>
  <si>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</si>
  <si>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</si>
  <si>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</si>
  <si>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</si>
  <si>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</si>
  <si>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</si>
  <si>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</si>
  <si>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</si>
  <si>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</si>
  <si>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</si>
  <si>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</si>
  <si>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</si>
  <si>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</si>
  <si>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</si>
  <si>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</si>
  <si>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</si>
  <si>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</si>
  <si>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</si>
  <si>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</si>
  <si>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</si>
  <si>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</si>
  <si>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</si>
  <si>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</si>
  <si>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</si>
  <si>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</si>
  <si>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</si>
  <si>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</si>
  <si>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</si>
  <si>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</si>
  <si>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</si>
  <si>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</si>
  <si>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</si>
  <si>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</si>
  <si>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</si>
  <si>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</si>
  <si>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</si>
  <si>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</si>
  <si>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</si>
  <si>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</si>
  <si>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</si>
  <si>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</si>
  <si>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</si>
  <si>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</si>
  <si>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</si>
  <si>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</si>
  <si>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</si>
  <si>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</si>
  <si>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</si>
  <si>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</si>
  <si>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</si>
  <si>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</si>
  <si>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</si>
  <si>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</si>
  <si>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</si>
  <si>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</si>
  <si>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</si>
  <si>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</si>
  <si>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</si>
  <si>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</si>
  <si>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</si>
  <si>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</si>
  <si>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</si>
  <si>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</si>
  <si>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</si>
  <si>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</si>
  <si>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</si>
  <si>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</si>
  <si>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</si>
  <si>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</si>
  <si>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</si>
  <si>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</si>
  <si>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</si>
  <si>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</si>
  <si>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</si>
  <si>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</si>
  <si>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</si>
  <si>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</si>
  <si>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</si>
  <si>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</si>
  <si>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</si>
  <si>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</si>
  <si>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</si>
  <si>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</si>
  <si>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</si>
  <si>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</si>
  <si>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</si>
  <si>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</si>
  <si>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</si>
  <si>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</si>
  <si>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</si>
  <si>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</si>
  <si>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</si>
  <si>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</si>
  <si>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</si>
  <si>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</si>
  <si>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</si>
  <si>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</si>
  <si>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</si>
  <si>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</si>
  <si>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</si>
  <si>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</si>
  <si>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</si>
  <si>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</si>
  <si>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</si>
  <si>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</si>
  <si>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</si>
  <si>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</si>
  <si>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</si>
  <si>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</si>
  <si>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</si>
  <si>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</si>
  <si>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</si>
  <si>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</si>
  <si>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</si>
  <si>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</si>
  <si>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</si>
  <si>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</si>
  <si>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</si>
  <si>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</si>
  <si>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</si>
  <si>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</si>
  <si>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</si>
  <si>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</si>
  <si>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</si>
  <si>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</si>
  <si>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</si>
  <si>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</si>
  <si>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</si>
  <si>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</si>
  <si>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</si>
  <si>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</si>
  <si>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</si>
  <si>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</si>
  <si>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</si>
  <si>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</si>
  <si>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</si>
  <si>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</si>
  <si>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</si>
  <si>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</si>
  <si>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</si>
  <si>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</si>
  <si>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</si>
  <si>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</si>
  <si>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</si>
  <si>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</si>
  <si>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</si>
  <si>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</si>
  <si>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</si>
  <si>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</si>
  <si>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</si>
  <si>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</si>
  <si>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</si>
  <si>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</si>
  <si>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</si>
  <si>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</si>
  <si>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</si>
  <si>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</si>
  <si>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</si>
  <si>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</si>
  <si>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</si>
  <si>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</si>
  <si>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</si>
  <si>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</si>
  <si>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</si>
  <si>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</si>
  <si>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</si>
  <si>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</si>
  <si>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</si>
  <si>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</si>
  <si>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</si>
  <si>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</si>
  <si>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</si>
  <si>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</si>
  <si>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</si>
  <si>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</si>
  <si>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</si>
  <si>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</si>
  <si>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</si>
  <si>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</si>
  <si>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</si>
  <si>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</si>
  <si>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</si>
  <si>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</si>
  <si>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</si>
  <si>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</si>
  <si>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</si>
  <si>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</si>
  <si>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</si>
  <si>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</si>
  <si>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</si>
  <si>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</si>
  <si>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</si>
  <si>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</si>
  <si>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</si>
  <si>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</si>
  <si>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</si>
  <si>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</si>
  <si>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</si>
  <si>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</si>
  <si>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</si>
  <si>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</si>
  <si>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</si>
  <si>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</si>
  <si>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</si>
  <si>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</si>
  <si>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</si>
  <si>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</si>
  <si>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</si>
  <si>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</si>
  <si>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</si>
  <si>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</si>
  <si>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</si>
  <si>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</si>
  <si>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</si>
  <si>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</si>
  <si>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</si>
  <si>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</si>
  <si>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</si>
  <si>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</si>
  <si>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</si>
  <si>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</si>
  <si>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</si>
  <si>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</si>
  <si>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</si>
  <si>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</si>
  <si>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</si>
  <si>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</si>
  <si>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</si>
  <si>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</si>
  <si>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</si>
  <si>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</si>
  <si>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</si>
  <si>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</si>
  <si>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</si>
  <si>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</si>
  <si>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</si>
  <si>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</si>
  <si>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</si>
  <si>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</si>
  <si>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</si>
  <si>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</si>
  <si>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</si>
  <si>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</si>
  <si>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</si>
  <si>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</si>
  <si>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</si>
  <si>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</si>
  <si>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</si>
  <si>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</si>
  <si>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</si>
  <si>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</si>
  <si>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</si>
  <si>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</si>
  <si>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</si>
  <si>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</si>
  <si>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</si>
  <si>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</si>
  <si>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</si>
  <si>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</si>
  <si>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</si>
  <si>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</si>
  <si>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</si>
  <si>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</si>
  <si>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</si>
  <si>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</si>
  <si>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</si>
  <si>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</si>
  <si>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</si>
  <si>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</si>
  <si>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</si>
  <si>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</si>
  <si>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</si>
  <si>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</si>
  <si>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</si>
  <si>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</si>
  <si>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</si>
  <si>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</si>
  <si>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</si>
  <si>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</si>
  <si>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</si>
  <si>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</si>
  <si>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</si>
  <si>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</si>
  <si>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</si>
  <si>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</si>
  <si>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</si>
  <si>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</si>
  <si>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</si>
  <si>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</si>
  <si>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</si>
  <si>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</si>
  <si>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</si>
  <si>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</si>
  <si>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</si>
  <si>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</si>
  <si>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</si>
  <si>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</si>
  <si>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</si>
  <si>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</si>
  <si>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</si>
  <si>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</si>
  <si>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</si>
  <si>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</si>
  <si>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</si>
  <si>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</si>
  <si>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</si>
  <si>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</si>
  <si>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</si>
  <si>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</si>
  <si>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</si>
  <si>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</si>
  <si>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</si>
  <si>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</si>
  <si>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</si>
  <si>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</si>
  <si>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</si>
  <si>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</si>
  <si>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</si>
  <si>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</si>
  <si>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</si>
  <si>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</si>
  <si>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</si>
  <si>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</si>
  <si>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</si>
  <si>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</si>
  <si>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</si>
  <si>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</si>
  <si>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</si>
  <si>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</si>
  <si>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</si>
  <si>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</si>
  <si>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</si>
  <si>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</si>
  <si>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</si>
  <si>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</si>
  <si>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</si>
  <si>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</si>
  <si>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</si>
  <si>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</si>
  <si>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</si>
  <si>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</si>
  <si>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</si>
  <si>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</si>
  <si>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</si>
  <si>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</si>
  <si>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</si>
  <si>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</si>
  <si>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</si>
  <si>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</si>
  <si>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</si>
  <si>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</si>
  <si>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</si>
  <si>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</si>
  <si>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</si>
  <si>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</si>
  <si>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</si>
  <si>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</si>
  <si>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</si>
  <si>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</si>
  <si>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</si>
  <si>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</si>
  <si>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</si>
  <si>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</si>
  <si>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</si>
  <si>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</si>
  <si>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</si>
  <si>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</si>
  <si>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</si>
  <si>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</si>
  <si>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</si>
  <si>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</si>
  <si>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</si>
  <si>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</si>
  <si>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</si>
  <si>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</si>
  <si>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</si>
  <si>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</si>
  <si>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</si>
  <si>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</si>
  <si>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</si>
  <si>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</si>
  <si>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</si>
  <si>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</si>
  <si>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</si>
  <si>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</si>
  <si>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</si>
  <si>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</si>
  <si>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</si>
  <si>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</si>
  <si>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</si>
  <si>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</si>
  <si>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</si>
  <si>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</si>
  <si>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</si>
  <si>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</si>
  <si>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</si>
  <si>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</si>
  <si>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</si>
  <si>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</si>
  <si>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</si>
  <si>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</si>
  <si>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</si>
  <si>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</si>
  <si>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</si>
  <si>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</si>
  <si>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</si>
  <si>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</si>
  <si>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</si>
  <si>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</si>
  <si>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</si>
  <si>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</si>
  <si>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</si>
  <si>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</si>
  <si>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</si>
  <si>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</si>
  <si>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</si>
  <si>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</si>
  <si>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</si>
  <si>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</si>
  <si>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</si>
  <si>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</si>
  <si>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</si>
  <si>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</si>
  <si>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</si>
  <si>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</si>
  <si>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</si>
  <si>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</si>
  <si>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</si>
  <si>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</si>
  <si>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</si>
  <si>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</si>
  <si>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</si>
  <si>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</si>
  <si>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</si>
  <si>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</si>
  <si>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</si>
  <si>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</si>
  <si>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</si>
  <si>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</si>
  <si>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</si>
  <si>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</si>
  <si>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</si>
  <si>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</si>
  <si>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</si>
  <si>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</si>
  <si>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</si>
  <si>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</si>
  <si>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</si>
  <si>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</si>
  <si>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</si>
  <si>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</si>
  <si>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</si>
  <si>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</si>
  <si>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</si>
  <si>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</si>
  <si>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</si>
  <si>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</si>
  <si>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</si>
  <si>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</si>
  <si>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</si>
  <si>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</si>
  <si>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</si>
  <si>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</si>
  <si>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</si>
  <si>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</si>
  <si>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</si>
  <si>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</si>
  <si>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</si>
  <si>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</si>
  <si>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</si>
  <si>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</si>
  <si>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</si>
  <si>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</si>
  <si>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</si>
  <si>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</si>
  <si>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</si>
  <si>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</si>
  <si>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</si>
  <si>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</si>
  <si>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</si>
  <si>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</si>
  <si>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</si>
  <si>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</si>
  <si>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</si>
  <si>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</si>
  <si>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</si>
  <si>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</si>
  <si>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</si>
  <si>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</si>
  <si>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</si>
  <si>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</si>
  <si>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</si>
  <si>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</si>
  <si>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</si>
  <si>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</si>
  <si>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</si>
  <si>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</si>
  <si>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</si>
  <si>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</si>
  <si>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</si>
  <si>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</si>
  <si>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</si>
  <si>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</si>
  <si>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</si>
  <si>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</si>
  <si>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</si>
  <si>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</si>
  <si>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</si>
  <si>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</si>
  <si>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</si>
  <si>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</si>
  <si>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</si>
  <si>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</si>
  <si>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</si>
  <si>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</si>
  <si>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</si>
  <si>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</si>
  <si>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</si>
  <si>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</si>
  <si>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</si>
  <si>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</si>
  <si>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</si>
  <si>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</si>
  <si>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</si>
  <si>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</si>
  <si>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</si>
  <si>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</si>
  <si>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</si>
  <si>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</si>
  <si>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</si>
  <si>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</si>
  <si>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</si>
  <si>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</si>
  <si>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</si>
  <si>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</si>
  <si>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</si>
  <si>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</si>
  <si>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</si>
  <si>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</si>
  <si>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</si>
  <si>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</si>
  <si>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</si>
  <si>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</si>
  <si>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</si>
  <si>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</si>
  <si>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</si>
  <si>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</si>
  <si>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</si>
  <si>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</si>
  <si>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</si>
  <si>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</si>
  <si>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</si>
  <si>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</si>
  <si>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</si>
  <si>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</si>
  <si>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</si>
  <si>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</si>
  <si>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</si>
  <si>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</si>
  <si>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</si>
  <si>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</si>
  <si>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</si>
  <si>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</si>
  <si>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</si>
  <si>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</si>
  <si>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</si>
  <si>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</si>
  <si>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</si>
  <si>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</si>
  <si>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</si>
  <si>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</si>
  <si>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</si>
  <si>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</si>
  <si>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</si>
  <si>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</si>
  <si>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</si>
  <si>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</si>
  <si>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</si>
  <si>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</si>
  <si>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</si>
  <si>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</si>
  <si>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</si>
  <si>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</si>
  <si>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</si>
  <si>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</si>
  <si>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</si>
  <si>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</si>
  <si>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</si>
  <si>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</si>
  <si>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</si>
  <si>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</si>
  <si>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</si>
  <si>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</si>
  <si>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</si>
  <si>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</si>
  <si>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</si>
  <si>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</si>
  <si>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</si>
  <si>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</si>
  <si>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</si>
  <si>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</si>
  <si>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</si>
  <si>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</si>
  <si>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</si>
  <si>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</si>
  <si>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</si>
  <si>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</si>
  <si>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</si>
  <si>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</si>
  <si>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</si>
  <si>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</si>
  <si>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</si>
  <si>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</si>
  <si>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</si>
  <si>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</si>
  <si>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</si>
  <si>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</si>
  <si>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</si>
  <si>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</si>
  <si>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</si>
  <si>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</si>
  <si>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</si>
  <si>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</si>
  <si>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</si>
  <si>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</si>
  <si>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</si>
  <si>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</si>
  <si>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</si>
  <si>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</si>
  <si>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</si>
  <si>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</si>
  <si>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</si>
  <si>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</si>
  <si>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</si>
  <si>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</si>
  <si>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</si>
  <si>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</si>
  <si>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</si>
  <si>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</si>
  <si>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</si>
  <si>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</si>
  <si>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</si>
  <si>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</si>
  <si>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</si>
  <si>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</si>
  <si>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</si>
  <si>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</si>
  <si>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</si>
  <si>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</si>
  <si>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</si>
  <si>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</si>
  <si>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</si>
  <si>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</si>
  <si>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</si>
  <si>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</si>
  <si>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</si>
  <si>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</si>
  <si>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</si>
  <si>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</si>
  <si>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</si>
  <si>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</si>
  <si>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</si>
  <si>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</si>
  <si>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</si>
  <si>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</si>
  <si>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</si>
  <si>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</si>
  <si>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</si>
  <si>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</si>
  <si>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</si>
  <si>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</si>
  <si>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</si>
  <si>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</si>
  <si>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</si>
  <si>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</si>
  <si>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</si>
  <si>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</si>
  <si>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</si>
  <si>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</si>
  <si>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</si>
  <si>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</si>
  <si>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</si>
  <si>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</si>
  <si>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</si>
  <si>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</si>
  <si>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</si>
  <si>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</si>
  <si>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</si>
  <si>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</si>
  <si>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</si>
  <si>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</si>
  <si>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</si>
  <si>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</si>
  <si>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</si>
  <si>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</si>
  <si>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</si>
  <si>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</si>
  <si>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</si>
  <si>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</si>
  <si>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</si>
  <si>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</si>
  <si>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</si>
  <si>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</si>
  <si>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</si>
  <si>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</si>
  <si>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</si>
  <si>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</si>
  <si>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</si>
  <si>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</si>
  <si>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</si>
  <si>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</si>
  <si>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</si>
  <si>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</si>
  <si>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</si>
  <si>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</si>
  <si>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</si>
  <si>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</si>
  <si>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</si>
  <si>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</si>
  <si>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</si>
  <si>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</si>
  <si>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</si>
  <si>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</si>
  <si>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</si>
  <si>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</si>
  <si>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</si>
  <si>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</si>
  <si>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</si>
  <si>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</si>
  <si>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</si>
  <si>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</si>
  <si>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</si>
  <si>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</si>
  <si>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</si>
  <si>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</si>
  <si>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</si>
  <si>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</si>
  <si>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</si>
  <si>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</si>
  <si>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</si>
  <si>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</si>
  <si>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</si>
  <si>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</si>
  <si>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</si>
  <si>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</si>
  <si>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</si>
  <si>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</si>
  <si>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</si>
  <si>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</si>
  <si>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</si>
  <si>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</si>
  <si>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</si>
  <si>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</si>
  <si>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</si>
  <si>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</si>
  <si>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</si>
  <si>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</si>
  <si>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</si>
  <si>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</si>
  <si>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</si>
  <si>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</si>
  <si>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</si>
  <si>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</si>
  <si>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</si>
  <si>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</si>
  <si>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</si>
  <si>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</si>
  <si>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</si>
  <si>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</si>
  <si>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</si>
  <si>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</si>
  <si>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</si>
  <si>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</si>
  <si>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</si>
  <si>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</si>
  <si>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</si>
  <si>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</si>
  <si>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</si>
  <si>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</si>
  <si>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</si>
  <si>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</si>
  <si>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</si>
  <si>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</si>
  <si>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</si>
  <si>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</si>
  <si>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</si>
  <si>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</si>
  <si>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</si>
  <si>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</si>
  <si>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</si>
  <si>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</si>
  <si>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</si>
  <si>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</si>
  <si>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</si>
  <si>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</si>
  <si>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</si>
  <si>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</si>
  <si>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</si>
  <si>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</si>
  <si>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</si>
  <si>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</si>
  <si>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</si>
  <si>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</si>
  <si>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</si>
  <si>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</si>
  <si>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</si>
  <si>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</si>
  <si>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</si>
  <si>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</si>
  <si>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</si>
  <si>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</si>
  <si>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</si>
  <si>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</si>
  <si>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</si>
  <si>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</si>
  <si>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</si>
  <si>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</si>
  <si>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</si>
  <si>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</si>
  <si>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</si>
  <si>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</si>
  <si>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</si>
  <si>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</si>
  <si>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</si>
  <si>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</si>
  <si>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</si>
  <si>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</si>
  <si>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</si>
  <si>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</si>
  <si>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</si>
  <si>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</si>
  <si>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</si>
  <si>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</si>
  <si>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</si>
  <si>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</si>
  <si>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</si>
  <si>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</si>
  <si>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</si>
  <si>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</si>
  <si>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</si>
  <si>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</si>
  <si>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</si>
  <si>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</si>
  <si>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</si>
  <si>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</si>
  <si>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</si>
  <si>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</si>
  <si>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</si>
  <si>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</si>
  <si>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</si>
  <si>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</si>
  <si>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</si>
  <si>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</si>
  <si>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</si>
  <si>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</si>
  <si>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</si>
  <si>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</si>
  <si>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</si>
  <si>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</si>
  <si>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</si>
  <si>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</si>
  <si>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</si>
  <si>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</si>
  <si>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</si>
  <si>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</si>
  <si>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</si>
  <si>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</si>
  <si>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</si>
  <si>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</si>
  <si>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</si>
  <si>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</si>
  <si>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</si>
  <si>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</si>
  <si>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</si>
  <si>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</si>
  <si>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</si>
  <si>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</si>
  <si>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</si>
  <si>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</si>
  <si>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</si>
  <si>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</si>
  <si>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</si>
  <si>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</si>
  <si>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</si>
  <si>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</si>
  <si>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</si>
  <si>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</si>
  <si>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</si>
  <si>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</si>
  <si>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</si>
  <si>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</si>
  <si>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</si>
  <si>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</si>
  <si>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</si>
  <si>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</si>
  <si>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</si>
  <si>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</si>
  <si>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</si>
  <si>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</si>
  <si>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</si>
  <si>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</si>
  <si>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</si>
  <si>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</si>
  <si>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</si>
  <si>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</si>
  <si>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</si>
  <si>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</si>
  <si>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</si>
  <si>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</si>
  <si>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</si>
  <si>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</si>
  <si>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</si>
  <si>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</si>
  <si>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</si>
  <si>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</si>
  <si>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</si>
  <si>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</si>
  <si>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</si>
  <si>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</si>
  <si>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</si>
  <si>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</si>
  <si>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</si>
  <si>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</si>
  <si>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</si>
  <si>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</si>
  <si>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</si>
  <si>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</si>
  <si>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</si>
  <si>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</si>
  <si>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</si>
  <si>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</si>
  <si>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</si>
  <si>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</si>
  <si>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</si>
  <si>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</si>
  <si>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</si>
  <si>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</si>
  <si>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</si>
  <si>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</si>
  <si>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</si>
  <si>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</si>
  <si>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</si>
  <si>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</si>
  <si>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</si>
  <si>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</si>
  <si>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</si>
  <si>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</si>
  <si>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</si>
  <si>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</si>
  <si>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</si>
  <si>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</si>
  <si>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</si>
  <si>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</si>
  <si>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</si>
  <si>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</si>
  <si>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</si>
  <si>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</si>
  <si>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</si>
  <si>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</si>
  <si>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</si>
  <si>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</si>
  <si>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</si>
  <si>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</si>
  <si>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</si>
  <si>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</si>
  <si>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</si>
  <si>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</si>
  <si>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</si>
  <si>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</si>
  <si>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</si>
  <si>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</si>
  <si>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</si>
  <si>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</si>
  <si>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</si>
  <si>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</si>
  <si>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</si>
  <si>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</si>
  <si>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</si>
  <si>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</si>
  <si>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</si>
  <si>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</si>
  <si>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</si>
  <si>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</si>
  <si>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</si>
  <si>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</si>
  <si>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</si>
  <si>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</si>
  <si>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</si>
  <si>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</si>
  <si>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</si>
  <si>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</si>
  <si>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</si>
  <si>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</si>
  <si>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</si>
  <si>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</si>
  <si>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</si>
  <si>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</si>
  <si>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</si>
  <si>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</si>
  <si>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</si>
  <si>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</si>
  <si>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</si>
  <si>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</si>
  <si>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</si>
  <si>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</si>
  <si>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</si>
  <si>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</si>
  <si>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</si>
  <si>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</si>
  <si>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</si>
  <si>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</si>
  <si>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</si>
  <si>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</si>
  <si>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</si>
  <si>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</si>
  <si>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</si>
  <si>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</si>
  <si>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</si>
  <si>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</si>
  <si>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</si>
  <si>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</si>
  <si>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</si>
  <si>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</si>
  <si>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</si>
  <si>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</si>
  <si>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</si>
  <si>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</si>
  <si>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</si>
  <si>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</si>
  <si>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</si>
  <si>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</si>
  <si>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</si>
  <si>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</si>
  <si>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</si>
  <si>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</si>
  <si>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</si>
  <si>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</si>
  <si>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</si>
  <si>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</si>
  <si>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</si>
  <si>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</si>
  <si>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</si>
  <si>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</si>
  <si>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</si>
  <si>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</si>
  <si>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</si>
  <si>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</si>
  <si>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</si>
  <si>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</si>
  <si>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</si>
  <si>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</si>
  <si>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</si>
  <si>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</si>
  <si>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</si>
  <si>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</si>
  <si>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</si>
  <si>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</si>
  <si>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</si>
  <si>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</si>
  <si>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</si>
  <si>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</si>
  <si>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</si>
  <si>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</si>
  <si>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</si>
  <si>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</si>
  <si>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</si>
  <si>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</si>
  <si>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</si>
  <si>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</si>
  <si>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</si>
  <si>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</si>
  <si>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</si>
  <si>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</si>
  <si>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</si>
  <si>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</si>
  <si>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</si>
  <si>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</si>
  <si>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</si>
  <si>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</si>
  <si>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</si>
  <si>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</si>
  <si>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</si>
  <si>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</si>
  <si>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</si>
  <si>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</si>
  <si>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</si>
  <si>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</si>
  <si>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</si>
  <si>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</si>
  <si>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</si>
  <si>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</si>
  <si>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</si>
  <si>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</si>
  <si>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</si>
  <si>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</si>
  <si>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</si>
  <si>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</si>
  <si>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</si>
  <si>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</si>
  <si>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</si>
  <si>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</si>
  <si>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</si>
  <si>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</si>
  <si>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</si>
  <si>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</si>
  <si>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</si>
  <si>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</si>
  <si>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</si>
  <si>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</si>
  <si>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</si>
  <si>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</si>
  <si>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</si>
  <si>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</si>
  <si>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</si>
  <si>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</si>
  <si>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</si>
  <si>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</si>
  <si>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</si>
  <si>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</si>
  <si>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</si>
  <si>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</si>
  <si>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</si>
  <si>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</si>
  <si>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</si>
  <si>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</si>
  <si>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</si>
  <si>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</si>
  <si>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</si>
  <si>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</si>
  <si>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</si>
  <si>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</si>
  <si>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</si>
  <si>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</si>
  <si>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</si>
  <si>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</si>
  <si>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</si>
  <si>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</si>
  <si>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</si>
  <si>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</si>
  <si>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</si>
  <si>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</si>
  <si>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</si>
  <si>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</si>
  <si>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</si>
  <si>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</si>
  <si>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</si>
  <si>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</si>
  <si>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</si>
  <si>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</si>
  <si>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</si>
  <si>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</si>
  <si>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</si>
  <si>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</si>
  <si>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</si>
  <si>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</si>
  <si>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</si>
  <si>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</si>
  <si>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</si>
  <si>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</si>
  <si>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</si>
  <si>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</si>
  <si>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</si>
  <si>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</si>
  <si>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</si>
  <si>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</si>
  <si>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</si>
  <si>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</si>
  <si>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</si>
  <si>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</si>
  <si>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</si>
  <si>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</si>
  <si>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</si>
  <si>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</si>
  <si>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</si>
  <si>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</si>
  <si>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</si>
  <si>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</si>
  <si>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</si>
  <si>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</si>
  <si>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</si>
  <si>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</si>
  <si>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</si>
  <si>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</si>
  <si>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</si>
  <si>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</si>
  <si>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</si>
  <si>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</si>
  <si>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</si>
  <si>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</si>
  <si>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</si>
  <si>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</si>
  <si>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</si>
  <si>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</si>
  <si>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</si>
  <si>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</si>
  <si>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</si>
  <si>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</si>
  <si>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</si>
  <si>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</si>
  <si>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</si>
  <si>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</si>
  <si>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</si>
  <si>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</si>
  <si>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</si>
  <si>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</si>
  <si>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</si>
  <si>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</si>
  <si>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</si>
  <si>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</si>
  <si>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</si>
  <si>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</si>
  <si>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</si>
  <si>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</si>
  <si>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</si>
  <si>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</si>
  <si>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</si>
  <si>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</si>
  <si>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</si>
  <si>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</si>
  <si>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</si>
  <si>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</si>
  <si>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</si>
  <si>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</si>
  <si>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</si>
  <si>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</si>
  <si>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</si>
  <si>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</si>
  <si>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</si>
  <si>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</si>
  <si>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</si>
  <si>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</si>
  <si>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</si>
  <si>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</si>
  <si>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</si>
  <si>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</si>
  <si>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</si>
  <si>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</si>
  <si>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</si>
  <si>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</si>
  <si>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</si>
  <si>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</si>
  <si>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</si>
  <si>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</si>
  <si>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</si>
  <si>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</si>
  <si>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</si>
  <si>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</si>
  <si>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</si>
  <si>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</si>
  <si>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</si>
  <si>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</si>
  <si>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</si>
  <si>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</si>
  <si>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</si>
  <si>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</si>
  <si>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</si>
  <si>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</si>
  <si>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</si>
  <si>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</si>
  <si>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</si>
  <si>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</si>
  <si>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</si>
  <si>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</si>
  <si>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</si>
  <si>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</si>
  <si>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</si>
  <si>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</si>
  <si>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</si>
  <si>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</si>
  <si>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</si>
  <si>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</si>
  <si>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</si>
  <si>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</si>
  <si>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</si>
  <si>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</si>
  <si>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</si>
  <si>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</si>
  <si>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</si>
  <si>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</si>
  <si>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</si>
  <si>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</si>
  <si>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</si>
  <si>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</si>
  <si>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</si>
  <si>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</si>
  <si>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</si>
  <si>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</si>
  <si>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</si>
  <si>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</si>
  <si>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</si>
  <si>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</si>
  <si>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</si>
  <si>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</si>
  <si>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</si>
  <si>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</si>
  <si>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</si>
  <si>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</si>
  <si>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</si>
  <si>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</si>
  <si>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</si>
  <si>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</si>
  <si>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</si>
  <si>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</si>
  <si>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</si>
  <si>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</si>
  <si>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</si>
  <si>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</si>
  <si>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</si>
  <si>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</si>
  <si>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</si>
  <si>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</si>
  <si>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</si>
  <si>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</si>
  <si>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</si>
  <si>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</si>
  <si>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</si>
  <si>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</si>
  <si>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</si>
  <si>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</si>
  <si>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</si>
  <si>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</si>
  <si>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</si>
  <si>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</si>
  <si>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</si>
  <si>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</si>
  <si>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</si>
  <si>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</si>
  <si>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</si>
  <si>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</si>
  <si>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</si>
  <si>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</si>
  <si>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</si>
  <si>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</si>
  <si>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</si>
  <si>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</si>
  <si>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</si>
  <si>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</si>
  <si>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</si>
  <si>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</si>
  <si>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</si>
  <si>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</si>
  <si>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</si>
  <si>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</si>
  <si>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</si>
  <si>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</si>
  <si>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</si>
  <si>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</si>
  <si>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</si>
  <si>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</si>
  <si>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</si>
  <si>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</si>
  <si>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</si>
  <si>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</si>
  <si>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</si>
  <si>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</si>
  <si>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</si>
  <si>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</si>
  <si>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</si>
  <si>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</si>
  <si>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</si>
  <si>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</si>
  <si>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</si>
  <si>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</si>
  <si>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</si>
  <si>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</si>
  <si>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</si>
  <si>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</si>
  <si>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</si>
  <si>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</si>
  <si>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</si>
  <si>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</si>
  <si>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</si>
  <si>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</si>
  <si>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</si>
  <si>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</si>
  <si>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</si>
  <si>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</si>
  <si>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</si>
  <si>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</si>
  <si>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</si>
  <si>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</si>
  <si>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</si>
  <si>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</si>
  <si>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</si>
  <si>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</si>
  <si>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</si>
  <si>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</si>
  <si>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</si>
  <si>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</si>
  <si>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</si>
  <si>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</si>
  <si>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</si>
  <si>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</si>
  <si>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</si>
  <si>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</si>
  <si>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</si>
  <si>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</si>
  <si>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</si>
  <si>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</si>
  <si>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</si>
  <si>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</si>
  <si>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</si>
  <si>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</si>
  <si>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</si>
  <si>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</si>
  <si>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</si>
  <si>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</si>
  <si>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</si>
  <si>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</si>
  <si>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</si>
  <si>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</si>
  <si>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</si>
  <si>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</si>
  <si>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</si>
  <si>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</si>
  <si>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</si>
  <si>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</si>
  <si>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</si>
  <si>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</si>
  <si>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</si>
  <si>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</si>
  <si>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</si>
  <si>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</si>
  <si>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</si>
  <si>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</si>
  <si>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</si>
  <si>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</si>
  <si>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</si>
  <si>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</si>
  <si>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</si>
  <si>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</si>
  <si>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</si>
  <si>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</si>
  <si>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</si>
  <si>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</si>
  <si>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</si>
  <si>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</si>
  <si>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</si>
  <si>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</si>
  <si>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</si>
  <si>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</si>
  <si>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</si>
  <si>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</si>
  <si>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</si>
  <si>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</si>
  <si>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</si>
  <si>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</si>
  <si>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</si>
  <si>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</si>
  <si>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</si>
  <si>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</si>
  <si>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</si>
  <si>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</si>
  <si>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</si>
  <si>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</si>
  <si>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</si>
  <si>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</si>
  <si>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</si>
  <si>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</si>
  <si>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</si>
  <si>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</si>
  <si>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</si>
  <si>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</si>
  <si>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</si>
  <si>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</si>
  <si>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</si>
  <si>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</si>
  <si>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</si>
  <si>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</si>
  <si>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</si>
  <si>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</si>
  <si>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</si>
  <si>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</si>
  <si>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</si>
  <si>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</si>
  <si>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</si>
  <si>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</si>
  <si>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</si>
  <si>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</si>
  <si>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</si>
  <si>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</si>
  <si>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</si>
  <si>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</si>
  <si>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</si>
  <si>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</si>
  <si>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</si>
  <si>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</si>
  <si>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</si>
  <si>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</si>
  <si>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</si>
  <si>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</si>
  <si>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</si>
  <si>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</si>
  <si>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</si>
  <si>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</si>
  <si>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</si>
  <si>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</si>
  <si>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</si>
  <si>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</si>
  <si>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</si>
  <si>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</si>
  <si>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</si>
  <si>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</si>
  <si>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</si>
  <si>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</si>
  <si>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</si>
  <si>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</si>
  <si>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</si>
  <si>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</si>
  <si>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</si>
  <si>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</si>
  <si>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</si>
  <si>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</si>
  <si>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</si>
  <si>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</si>
  <si>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</si>
  <si>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</si>
  <si>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</si>
  <si>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</si>
  <si>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</si>
  <si>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</si>
  <si>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</si>
  <si>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</si>
  <si>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</si>
  <si>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</si>
  <si>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</si>
  <si>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</si>
  <si>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</si>
  <si>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</si>
  <si>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</si>
  <si>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</si>
  <si>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</si>
  <si>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</si>
  <si>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</si>
  <si>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</si>
  <si>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</si>
  <si>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</si>
  <si>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</si>
  <si>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</si>
  <si>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</si>
  <si>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</si>
  <si>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</si>
  <si>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</si>
  <si>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</si>
  <si>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</si>
  <si>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</si>
  <si>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</si>
  <si>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</si>
  <si>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</si>
  <si>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</si>
  <si>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</si>
  <si>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</si>
  <si>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</si>
  <si>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</si>
  <si>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</si>
  <si>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</si>
  <si>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</si>
  <si>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</si>
  <si>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</si>
  <si>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</si>
  <si>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</si>
  <si>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</si>
  <si>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</si>
  <si>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</si>
  <si>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</si>
  <si>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</si>
  <si>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</si>
  <si>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</si>
  <si>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</si>
  <si>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</si>
  <si>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</si>
  <si>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</si>
  <si>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</si>
  <si>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</si>
  <si>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</si>
  <si>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</si>
  <si>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</si>
  <si>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</si>
  <si>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</si>
  <si>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</si>
  <si>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</si>
  <si>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</si>
  <si>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</si>
  <si>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</si>
  <si>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</si>
  <si>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</si>
  <si>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</si>
  <si>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</si>
  <si>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</si>
  <si>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</si>
  <si>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</si>
  <si>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</si>
  <si>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</si>
  <si>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</si>
  <si>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</si>
  <si>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</si>
  <si>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</si>
  <si>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</si>
  <si>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</si>
  <si>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</si>
  <si>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</si>
  <si>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</si>
  <si>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</si>
  <si>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</si>
  <si>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</si>
  <si>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</si>
  <si>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</si>
  <si>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</si>
  <si>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</si>
  <si>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</si>
  <si>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</si>
  <si>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</si>
  <si>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</si>
  <si>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</si>
  <si>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</si>
  <si>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</si>
  <si>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</si>
  <si>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</si>
  <si>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</si>
  <si>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</si>
  <si>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</si>
  <si>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</si>
  <si>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</si>
  <si>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</si>
  <si>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</si>
  <si>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</si>
  <si>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</si>
  <si>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</si>
  <si>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</si>
  <si>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</si>
  <si>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</si>
  <si>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</si>
  <si>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</si>
  <si>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</si>
  <si>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</si>
  <si>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</si>
  <si>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</si>
  <si>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</si>
  <si>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</si>
  <si>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</si>
  <si>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</si>
  <si>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</si>
  <si>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</si>
  <si>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</si>
  <si>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</si>
  <si>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</si>
  <si>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</si>
  <si>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</si>
  <si>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</si>
  <si>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</si>
  <si>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</si>
  <si>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</si>
  <si>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</si>
  <si>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</si>
  <si>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</si>
  <si>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</si>
  <si>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</si>
  <si>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</si>
  <si>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</si>
  <si>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</si>
  <si>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</si>
  <si>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</si>
  <si>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</si>
  <si>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</si>
  <si>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</si>
  <si>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</si>
  <si>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</si>
  <si>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</si>
  <si>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</si>
  <si>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</si>
  <si>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</si>
  <si>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</si>
  <si>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</si>
  <si>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</si>
  <si>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</si>
  <si>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</si>
  <si>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</si>
  <si>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</si>
  <si>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</si>
  <si>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</si>
  <si>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</si>
  <si>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</si>
  <si>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</si>
  <si>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</si>
  <si>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</si>
  <si>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</si>
  <si>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</si>
  <si>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</si>
  <si>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</si>
  <si>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</si>
  <si>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</si>
  <si>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</si>
  <si>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</si>
  <si>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</si>
  <si>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</si>
  <si>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</si>
  <si>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</si>
  <si>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</si>
  <si>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</si>
  <si>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</si>
  <si>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</si>
  <si>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</si>
  <si>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</si>
  <si>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</si>
  <si>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</si>
  <si>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</si>
  <si>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</si>
  <si>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</si>
  <si>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</si>
  <si>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</si>
  <si>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</si>
  <si>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</si>
  <si>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</si>
  <si>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</si>
  <si>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</si>
  <si>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</si>
  <si>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</si>
  <si>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</si>
  <si>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</si>
  <si>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</si>
  <si>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</si>
  <si>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</si>
  <si>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</si>
  <si>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</si>
  <si>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</si>
  <si>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</si>
  <si>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</si>
  <si>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</si>
  <si>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</si>
  <si>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</si>
  <si>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</si>
  <si>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</si>
  <si>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</si>
  <si>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</si>
  <si>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</si>
  <si>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</si>
  <si>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</si>
  <si>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</si>
  <si>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</si>
  <si>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</si>
  <si>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</si>
  <si>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</si>
  <si>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</si>
  <si>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</si>
  <si>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</si>
  <si>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</si>
  <si>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</si>
  <si>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</si>
  <si>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</si>
  <si>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</si>
  <si>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</si>
  <si>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</si>
  <si>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</si>
  <si>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</si>
  <si>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</si>
  <si>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</si>
  <si>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</si>
  <si>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</si>
  <si>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</si>
  <si>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</si>
  <si>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</si>
  <si>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</si>
  <si>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</si>
  <si>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</si>
  <si>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</si>
  <si>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</si>
  <si>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</si>
  <si>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</si>
  <si>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</si>
  <si>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</si>
  <si>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</si>
  <si>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</si>
  <si>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</si>
  <si>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</si>
  <si>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</si>
  <si>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</si>
  <si>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</si>
  <si>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</si>
  <si>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</si>
  <si>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</si>
  <si>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</si>
  <si>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</si>
  <si>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</si>
  <si>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</si>
  <si>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</si>
  <si>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</si>
  <si>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</si>
  <si>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</si>
  <si>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</si>
  <si>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</si>
  <si>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</si>
  <si>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</si>
  <si>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</si>
  <si>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</si>
  <si>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</si>
  <si>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</si>
  <si>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</si>
  <si>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</si>
  <si>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</si>
  <si>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</si>
  <si>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</si>
  <si>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</si>
  <si>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</si>
  <si>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</si>
  <si>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</si>
  <si>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</si>
  <si>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</si>
  <si>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</si>
  <si>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</si>
  <si>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</si>
  <si>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</si>
  <si>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</si>
  <si>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</si>
  <si>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</si>
  <si>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</si>
  <si>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</si>
  <si>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</si>
  <si>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</si>
  <si>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</si>
  <si>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</si>
  <si>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</si>
  <si>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</si>
  <si>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</si>
  <si>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</si>
  <si>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</si>
  <si>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</si>
  <si>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</si>
  <si>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</si>
  <si>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</si>
  <si>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</si>
  <si>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</si>
  <si>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</si>
  <si>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</si>
  <si>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</si>
  <si>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</si>
  <si>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</si>
  <si>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</si>
  <si>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</si>
  <si>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</si>
  <si>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</si>
  <si>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</si>
  <si>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</si>
  <si>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</si>
  <si>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</si>
  <si>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</si>
  <si>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</si>
  <si>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</si>
  <si>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</si>
  <si>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</si>
  <si>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</si>
  <si>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</si>
  <si>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</si>
  <si>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</si>
  <si>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</si>
  <si>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</si>
  <si>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</si>
  <si>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</si>
  <si>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</si>
  <si>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</si>
  <si>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</si>
  <si>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</si>
  <si>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</si>
  <si>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</si>
  <si>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</si>
  <si>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</si>
  <si>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</si>
  <si>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</si>
  <si>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</si>
  <si>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</si>
  <si>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</si>
  <si>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</si>
  <si>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</si>
  <si>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</si>
  <si>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</si>
  <si>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</si>
  <si>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</si>
  <si>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</si>
  <si>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</si>
  <si>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</si>
  <si>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</si>
  <si>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</si>
  <si>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</si>
  <si>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</si>
  <si>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</si>
  <si>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</si>
  <si>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</si>
  <si>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</si>
  <si>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</si>
  <si>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</si>
  <si>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</si>
  <si>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</si>
  <si>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</si>
  <si>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</si>
  <si>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</si>
  <si>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</si>
  <si>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</si>
  <si>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</si>
  <si>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</si>
  <si>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</si>
  <si>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</si>
  <si>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</si>
  <si>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</si>
  <si>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</si>
  <si>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</si>
  <si>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</si>
  <si>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</si>
  <si>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</si>
  <si>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</si>
  <si>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</si>
  <si>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</si>
  <si>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</si>
  <si>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</si>
  <si>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</si>
  <si>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</si>
  <si>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</si>
  <si>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</si>
  <si>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</si>
  <si>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</si>
  <si>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</si>
  <si>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</si>
  <si>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</si>
  <si>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</si>
  <si>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</si>
  <si>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</si>
  <si>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</si>
  <si>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</si>
  <si>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</si>
  <si>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</si>
  <si>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</si>
  <si>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</si>
  <si>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</si>
  <si>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</si>
  <si>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</si>
  <si>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</si>
  <si>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</si>
  <si>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</si>
  <si>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</si>
  <si>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</si>
  <si>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</si>
  <si>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</si>
  <si>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</si>
  <si>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</si>
  <si>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</si>
  <si>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</si>
  <si>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</si>
  <si>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</si>
  <si>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</si>
  <si>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</si>
  <si>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</si>
  <si>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</si>
  <si>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</si>
  <si>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</si>
  <si>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</si>
  <si>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</si>
  <si>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</si>
  <si>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</si>
  <si>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</si>
  <si>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</si>
  <si>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</si>
  <si>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</si>
  <si>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</si>
  <si>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</si>
  <si>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</si>
  <si>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</si>
  <si>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</si>
  <si>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</si>
  <si>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</si>
  <si>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</si>
  <si>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</si>
  <si>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</si>
  <si>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</si>
  <si>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</si>
  <si>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</si>
  <si>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</si>
  <si>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</si>
  <si>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</si>
  <si>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</si>
  <si>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</si>
  <si>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</si>
  <si>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</si>
  <si>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</si>
  <si>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</si>
  <si>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</si>
  <si>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</si>
  <si>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</si>
  <si>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</si>
  <si>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</si>
  <si>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</si>
  <si>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</si>
  <si>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</si>
  <si>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</si>
  <si>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</si>
  <si>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</si>
  <si>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</si>
  <si>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</si>
  <si>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</si>
  <si>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</si>
  <si>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</si>
  <si>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</si>
  <si>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</si>
  <si>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</si>
  <si>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</si>
  <si>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</si>
  <si>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</si>
  <si>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</si>
  <si>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</si>
  <si>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</si>
  <si>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</si>
  <si>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</si>
  <si>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</si>
  <si>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</si>
  <si>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</si>
  <si>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</si>
  <si>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</si>
  <si>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</si>
  <si>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</si>
  <si>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</si>
  <si>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</si>
  <si>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</si>
  <si>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</si>
  <si>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</si>
  <si>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</si>
  <si>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</si>
  <si>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</si>
  <si>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</si>
  <si>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</si>
  <si>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</si>
  <si>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</si>
  <si>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</si>
  <si>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</si>
  <si>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</si>
  <si>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</si>
  <si>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</si>
  <si>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</si>
  <si>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</si>
  <si>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</si>
  <si>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</si>
  <si>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</si>
  <si>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</si>
  <si>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</si>
  <si>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</si>
  <si>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</si>
  <si>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</si>
  <si>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</si>
  <si>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</si>
  <si>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</si>
  <si>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</si>
  <si>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</si>
  <si>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</si>
  <si>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</si>
  <si>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</si>
  <si>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</si>
  <si>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</si>
  <si>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</si>
  <si>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</si>
  <si>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</si>
  <si>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</si>
  <si>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</si>
  <si>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</si>
  <si>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</si>
  <si>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</si>
  <si>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</si>
  <si>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</si>
  <si>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</si>
  <si>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</si>
  <si>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</si>
  <si>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</si>
  <si>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</si>
  <si>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</si>
  <si>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</si>
  <si>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</si>
  <si>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</si>
  <si>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</si>
  <si>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</si>
  <si>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</si>
  <si>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</si>
  <si>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</si>
  <si>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</si>
  <si>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</si>
  <si>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</si>
  <si>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</si>
  <si>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</si>
  <si>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</si>
  <si>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</si>
  <si>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</si>
  <si>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</si>
  <si>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</si>
  <si>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</si>
  <si>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</si>
  <si>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</si>
  <si>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</si>
  <si>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</si>
  <si>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</si>
  <si>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</si>
  <si>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</si>
  <si>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</si>
  <si>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</si>
  <si>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</si>
  <si>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</si>
  <si>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</si>
  <si>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</si>
  <si>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</si>
  <si>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</si>
  <si>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</si>
  <si>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</si>
  <si>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</si>
  <si>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</si>
  <si>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</si>
  <si>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</si>
  <si>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</si>
  <si>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</si>
  <si>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</si>
  <si>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</si>
  <si>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</si>
  <si>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</si>
  <si>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</si>
  <si>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</si>
  <si>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</si>
  <si>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</si>
  <si>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</si>
  <si>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</si>
  <si>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</si>
  <si>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</si>
  <si>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</si>
  <si>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</si>
  <si>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</si>
  <si>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</si>
  <si>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</si>
  <si>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</si>
  <si>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</si>
  <si>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</si>
  <si>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</si>
  <si>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</si>
  <si>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</si>
  <si>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</si>
  <si>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</si>
  <si>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</si>
  <si>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</si>
  <si>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</si>
  <si>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</si>
  <si>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</si>
  <si>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</si>
  <si>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</si>
  <si>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</si>
  <si>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</si>
  <si>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</si>
  <si>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</si>
  <si>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</si>
  <si>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</si>
  <si>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</si>
  <si>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</si>
  <si>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</si>
  <si>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</si>
  <si>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</si>
  <si>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</si>
  <si>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</si>
  <si>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</si>
  <si>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</si>
  <si>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</si>
  <si>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</si>
  <si>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</si>
  <si>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</si>
  <si>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</si>
  <si>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</si>
  <si>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</si>
  <si>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</si>
  <si>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</si>
  <si>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</si>
  <si>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</si>
  <si>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</si>
  <si>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</si>
  <si>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</si>
  <si>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</si>
  <si>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</si>
  <si>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</si>
  <si>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</si>
  <si>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</si>
  <si>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</si>
  <si>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</si>
  <si>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</si>
  <si>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</si>
  <si>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</si>
  <si>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</si>
  <si>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</si>
  <si>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</si>
  <si>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</si>
  <si>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</si>
  <si>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</si>
  <si>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</si>
  <si>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</si>
  <si>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</si>
  <si>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</si>
  <si>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</si>
  <si>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</si>
  <si>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</si>
  <si>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</si>
  <si>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</si>
  <si>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</si>
  <si>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</si>
  <si>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</si>
  <si>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</si>
  <si>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</si>
  <si>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</si>
  <si>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</si>
  <si>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</si>
  <si>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</si>
  <si>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</si>
  <si>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</si>
  <si>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</si>
  <si>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</si>
  <si>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</si>
  <si>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</si>
  <si>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</si>
  <si>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</si>
  <si>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</si>
  <si>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</si>
  <si>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</si>
  <si>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</si>
  <si>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</si>
  <si>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</si>
  <si>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</si>
  <si>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</si>
  <si>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</si>
  <si>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</si>
  <si>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</si>
  <si>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</si>
  <si>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</si>
  <si>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</si>
  <si>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</si>
  <si>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</si>
  <si>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</si>
  <si>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</si>
  <si>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</si>
  <si>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</si>
  <si>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</si>
  <si>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</si>
  <si>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</si>
  <si>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</si>
  <si>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</si>
  <si>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</si>
  <si>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</si>
  <si>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</si>
  <si>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</si>
  <si>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</si>
  <si>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</si>
  <si>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</si>
  <si>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</si>
  <si>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</si>
  <si>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</si>
  <si>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</si>
  <si>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</si>
  <si>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</si>
  <si>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</si>
  <si>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</si>
  <si>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</si>
  <si>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</si>
  <si>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</si>
  <si>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</si>
  <si>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</si>
  <si>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</si>
  <si>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</si>
  <si>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</si>
  <si>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</si>
  <si>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</si>
  <si>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</si>
  <si>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</si>
  <si>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</si>
  <si>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</si>
  <si>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</si>
  <si>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</si>
  <si>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</si>
  <si>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</si>
  <si>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</si>
  <si>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</si>
  <si>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</si>
  <si>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</si>
  <si>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</si>
  <si>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</si>
  <si>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</si>
  <si>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</si>
  <si>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</si>
  <si>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</si>
  <si>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</si>
  <si>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</si>
  <si>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</si>
  <si>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</si>
  <si>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</si>
  <si>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</si>
  <si>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</si>
  <si>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</si>
  <si>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</si>
  <si>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</si>
  <si>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</si>
  <si>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</si>
  <si>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</si>
  <si>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</si>
  <si>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</si>
  <si>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</si>
  <si>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</si>
  <si>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</si>
  <si>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</si>
  <si>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</si>
  <si>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</si>
  <si>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</si>
  <si>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</si>
  <si>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</si>
  <si>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</si>
  <si>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</si>
  <si>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</si>
  <si>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</si>
  <si>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</si>
  <si>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</si>
  <si>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</si>
  <si>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</si>
  <si>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</si>
  <si>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</si>
  <si>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</si>
  <si>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</si>
  <si>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</si>
  <si>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</si>
  <si>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</si>
  <si>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</si>
  <si>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</si>
  <si>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</si>
  <si>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</si>
  <si>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</si>
  <si>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</si>
  <si>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</si>
  <si>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</si>
  <si>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</si>
  <si>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</si>
  <si>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</si>
  <si>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</si>
  <si>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</si>
  <si>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</si>
  <si>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</si>
  <si>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</si>
  <si>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</si>
  <si>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</si>
  <si>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</si>
  <si>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</si>
  <si>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</si>
  <si>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</si>
  <si>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</si>
  <si>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</si>
  <si>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</si>
  <si>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</si>
  <si>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</si>
  <si>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</si>
  <si>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</si>
  <si>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</si>
  <si>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</si>
  <si>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</si>
  <si>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</si>
  <si>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</si>
  <si>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</si>
  <si>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</si>
  <si>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</si>
  <si>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</si>
  <si>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</si>
  <si>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</si>
  <si>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</si>
  <si>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</si>
  <si>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</si>
  <si>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</si>
  <si>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</si>
  <si>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</si>
  <si>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</si>
  <si>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</si>
  <si>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</si>
  <si>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</si>
  <si>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</si>
  <si>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</si>
  <si>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</si>
  <si>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</si>
  <si>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</si>
  <si>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</si>
  <si>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</si>
  <si>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</si>
  <si>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</si>
  <si>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</si>
  <si>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</si>
  <si>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</si>
  <si>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</si>
  <si>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</si>
  <si>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</si>
  <si>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</si>
  <si>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</si>
  <si>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</si>
  <si>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</si>
  <si>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</si>
  <si>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</si>
  <si>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</si>
  <si>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</si>
  <si>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</si>
  <si>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</si>
  <si>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</si>
  <si>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</si>
  <si>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</si>
  <si>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</si>
  <si>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</si>
  <si>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</si>
  <si>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</si>
  <si>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</si>
  <si>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</si>
  <si>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</si>
  <si>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</si>
  <si>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</si>
  <si>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</si>
  <si>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</si>
  <si>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</si>
  <si>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</si>
  <si>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</si>
  <si>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</si>
  <si>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</si>
  <si>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</si>
  <si>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</si>
  <si>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</si>
  <si>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</si>
  <si>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</si>
  <si>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</si>
  <si>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</si>
  <si>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</si>
  <si>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</si>
  <si>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</si>
  <si>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</si>
  <si>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</si>
  <si>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</si>
  <si>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</si>
  <si>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</si>
  <si>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</si>
  <si>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</si>
  <si>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</si>
  <si>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</si>
  <si>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</si>
  <si>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</si>
  <si>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</si>
  <si>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</si>
  <si>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</si>
  <si>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</si>
  <si>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</si>
  <si>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</si>
  <si>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</si>
  <si>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</si>
  <si>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</si>
  <si>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</si>
  <si>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</si>
  <si>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</si>
  <si>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</si>
  <si>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</si>
  <si>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</si>
  <si>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</si>
  <si>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</si>
  <si>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</si>
  <si>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</si>
  <si>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</si>
  <si>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</si>
  <si>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</si>
  <si>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</si>
  <si>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</si>
  <si>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</si>
  <si>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</si>
  <si>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</si>
  <si>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</si>
  <si>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</si>
  <si>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</si>
  <si>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</si>
  <si>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</si>
  <si>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</si>
  <si>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</si>
  <si>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</si>
  <si>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</si>
  <si>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</si>
  <si>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</si>
  <si>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</si>
  <si>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</si>
  <si>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</si>
  <si>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</si>
  <si>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</si>
  <si>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</si>
  <si>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</si>
  <si>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</si>
  <si>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</si>
  <si>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</si>
  <si>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</si>
  <si>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</si>
  <si>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</si>
  <si>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</si>
  <si>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</si>
  <si>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</si>
  <si>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</si>
  <si>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</si>
  <si>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</si>
  <si>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</si>
  <si>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</si>
  <si>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</si>
  <si>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</si>
  <si>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</si>
  <si>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</si>
  <si>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</si>
  <si>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</si>
  <si>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</si>
  <si>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</si>
  <si>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</si>
  <si>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</si>
  <si>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</si>
  <si>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</si>
  <si>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</si>
  <si>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</si>
  <si>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</si>
  <si>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</si>
  <si>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</si>
  <si>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</si>
  <si>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</si>
  <si>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</si>
  <si>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</si>
  <si>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</si>
  <si>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</si>
  <si>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</si>
  <si>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</si>
  <si>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</si>
  <si>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</si>
  <si>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</si>
  <si>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</si>
  <si>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</si>
  <si>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</si>
  <si>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</si>
  <si>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</si>
  <si>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</si>
  <si>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</si>
  <si>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</si>
  <si>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</si>
  <si>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</si>
  <si>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</si>
  <si>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</si>
  <si>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</si>
  <si>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</si>
  <si>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</si>
  <si>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</si>
  <si>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</si>
  <si>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</si>
  <si>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</si>
  <si>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</si>
  <si>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</si>
  <si>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</si>
  <si>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</si>
  <si>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</si>
  <si>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</si>
  <si>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</si>
  <si>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</si>
  <si>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</si>
  <si>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</si>
  <si>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</si>
  <si>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</si>
  <si>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</si>
  <si>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</si>
  <si>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</si>
  <si>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</si>
  <si>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</si>
  <si>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</si>
  <si>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</si>
  <si>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</si>
  <si>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</si>
  <si>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</si>
  <si>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</si>
  <si>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</si>
  <si>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</si>
  <si>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</si>
  <si>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</si>
  <si>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</si>
  <si>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</si>
  <si>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</si>
  <si>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</si>
  <si>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</si>
  <si>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</si>
  <si>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</si>
  <si>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</si>
  <si>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</si>
  <si>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</si>
  <si>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</si>
  <si>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</si>
  <si>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</si>
  <si>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</si>
  <si>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</si>
  <si>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</si>
  <si>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</si>
  <si>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</si>
  <si>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</si>
  <si>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</si>
  <si>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</si>
  <si>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</si>
  <si>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</si>
  <si>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</si>
  <si>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</si>
  <si>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</si>
  <si>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</si>
  <si>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</si>
  <si>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</si>
  <si>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</si>
  <si>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</si>
  <si>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</si>
  <si>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</si>
  <si>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</si>
  <si>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</si>
  <si>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</si>
  <si>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</si>
  <si>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</si>
  <si>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</si>
  <si>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</si>
  <si>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</si>
  <si>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</si>
  <si>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</si>
  <si>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</si>
  <si>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</si>
  <si>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</si>
  <si>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</si>
  <si>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</si>
  <si>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</si>
  <si>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</si>
  <si>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</si>
  <si>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</si>
  <si>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</si>
  <si>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</si>
  <si>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</si>
  <si>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</si>
  <si>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</si>
  <si>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</si>
  <si>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</si>
  <si>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</si>
  <si>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</si>
  <si>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</si>
  <si>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</si>
  <si>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</si>
  <si>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</si>
  <si>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</si>
  <si>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</si>
  <si>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</si>
  <si>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</si>
  <si>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</si>
  <si>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</si>
  <si>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</si>
  <si>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</si>
  <si>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</si>
  <si>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</si>
  <si>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</si>
  <si>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</si>
  <si>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</si>
  <si>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</si>
  <si>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</si>
  <si>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</si>
  <si>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</si>
  <si>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</si>
  <si>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</si>
  <si>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</si>
  <si>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</si>
  <si>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</si>
  <si>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</si>
  <si>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</si>
  <si>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</si>
  <si>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</si>
  <si>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</si>
  <si>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</si>
  <si>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</si>
  <si>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</si>
  <si>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</si>
  <si>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</si>
  <si>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</si>
  <si>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</si>
  <si>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</si>
  <si>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</si>
  <si>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</si>
  <si>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</si>
  <si>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</si>
  <si>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</si>
  <si>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</si>
  <si>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</si>
  <si>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</si>
  <si>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</si>
  <si>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</si>
  <si>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</si>
  <si>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</si>
  <si>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</si>
  <si>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</si>
  <si>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</si>
  <si>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</si>
  <si>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</si>
  <si>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</si>
  <si>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</si>
  <si>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</si>
  <si>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</si>
  <si>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</si>
  <si>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</si>
  <si>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</si>
  <si>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</si>
  <si>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</si>
  <si>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</si>
  <si>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</si>
  <si>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</si>
  <si>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</si>
  <si>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</si>
  <si>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</si>
  <si>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</si>
  <si>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</si>
  <si>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</si>
  <si>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</si>
  <si>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</si>
  <si>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</si>
  <si>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</si>
  <si>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</si>
  <si>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</si>
  <si>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</si>
  <si>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</si>
  <si>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</si>
  <si>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</si>
  <si>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</si>
  <si>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</si>
  <si>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</si>
  <si>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</si>
  <si>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</si>
  <si>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</si>
  <si>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</si>
  <si>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</si>
  <si>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</si>
  <si>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</si>
  <si>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</si>
  <si>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</si>
  <si>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</si>
  <si>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</si>
  <si>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</si>
  <si>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</si>
  <si>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</si>
  <si>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</si>
  <si>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</si>
  <si>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</si>
  <si>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</si>
  <si>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</si>
  <si>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</si>
  <si>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</si>
  <si>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</si>
  <si>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</si>
  <si>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</si>
  <si>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</si>
  <si>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</si>
  <si>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</si>
  <si>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</si>
  <si>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</si>
  <si>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</si>
  <si>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</si>
  <si>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</si>
  <si>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</si>
  <si>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</si>
  <si>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</si>
  <si>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</si>
  <si>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</si>
  <si>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</si>
  <si>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</si>
  <si>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</si>
  <si>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</si>
  <si>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</si>
  <si>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</si>
  <si>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</si>
  <si>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</si>
  <si>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</si>
  <si>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</si>
  <si>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</si>
  <si>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</si>
  <si>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</si>
  <si>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</si>
  <si>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</si>
  <si>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</si>
  <si>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</si>
  <si>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</si>
  <si>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</si>
  <si>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</si>
  <si>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</si>
  <si>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</si>
  <si>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</si>
  <si>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</si>
  <si>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</si>
  <si>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</si>
  <si>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</si>
  <si>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</si>
  <si>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</si>
  <si>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</si>
  <si>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</si>
  <si>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</si>
  <si>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</si>
  <si>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</si>
  <si>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</si>
  <si>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</si>
  <si>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</si>
  <si>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</si>
  <si>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</si>
  <si>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</si>
  <si>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</si>
  <si>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</si>
  <si>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</si>
  <si>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</si>
  <si>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</si>
  <si>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</si>
  <si>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</si>
  <si>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</si>
  <si>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</si>
  <si>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</si>
  <si>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</si>
  <si>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</si>
  <si>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</si>
  <si>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</si>
  <si>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</si>
  <si>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</si>
  <si>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</si>
  <si>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</si>
  <si>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</si>
  <si>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</si>
  <si>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</si>
  <si>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</si>
  <si>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</si>
  <si>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</si>
  <si>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</si>
  <si>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</si>
  <si>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</si>
  <si>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</si>
  <si>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</si>
  <si>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</si>
  <si>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</si>
  <si>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</si>
  <si>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</si>
  <si>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</si>
  <si>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</si>
  <si>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</si>
  <si>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</si>
  <si>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</si>
  <si>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</si>
  <si>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</si>
  <si>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</si>
  <si>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</si>
  <si>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</si>
  <si>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</si>
  <si>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</si>
  <si>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</si>
  <si>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</si>
  <si>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</si>
  <si>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</si>
  <si>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</si>
  <si>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</si>
  <si>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</si>
  <si>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</si>
  <si>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</si>
  <si>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</si>
  <si>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</si>
  <si>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</si>
  <si>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</si>
  <si>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</si>
  <si>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</si>
  <si>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</si>
  <si>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</si>
  <si>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</si>
  <si>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</si>
  <si>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</si>
  <si>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</si>
  <si>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</si>
  <si>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</si>
  <si>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</si>
  <si>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</si>
  <si>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</si>
  <si>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</si>
  <si>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</si>
  <si>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</si>
  <si>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</si>
  <si>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</si>
  <si>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</si>
  <si>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</si>
  <si>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</si>
  <si>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</si>
  <si>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</si>
  <si>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</si>
  <si>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</si>
  <si>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</si>
  <si>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</si>
  <si>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</si>
  <si>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</si>
  <si>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</si>
  <si>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</si>
  <si>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</si>
  <si>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</si>
  <si>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</si>
  <si>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</si>
  <si>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</si>
  <si>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</si>
  <si>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</si>
  <si>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</si>
  <si>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</si>
  <si>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</si>
  <si>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</si>
  <si>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</si>
  <si>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</si>
  <si>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</si>
  <si>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</si>
  <si>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</si>
  <si>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</si>
  <si>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</si>
  <si>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</si>
  <si>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</si>
  <si>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</si>
  <si>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</si>
  <si>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</si>
  <si>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</si>
  <si>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</si>
  <si>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</si>
  <si>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</si>
  <si>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</si>
  <si>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</si>
  <si>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</si>
  <si>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</si>
  <si>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</si>
  <si>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</si>
  <si>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</si>
  <si>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</si>
  <si>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</si>
  <si>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</si>
  <si>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</si>
  <si>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</si>
  <si>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</si>
  <si>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</si>
  <si>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</si>
  <si>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</si>
  <si>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</si>
  <si>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</si>
  <si>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</si>
  <si>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</si>
  <si>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</si>
  <si>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</si>
  <si>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</si>
  <si>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</si>
  <si>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</si>
  <si>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</si>
  <si>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</si>
  <si>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</si>
  <si>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</si>
  <si>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</si>
  <si>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</si>
  <si>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</si>
  <si>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</si>
  <si>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</si>
  <si>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</si>
  <si>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</si>
  <si>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</si>
  <si>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</si>
  <si>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</si>
  <si>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</si>
  <si>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</si>
  <si>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</si>
  <si>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</si>
  <si>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</si>
  <si>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</si>
  <si>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</si>
  <si>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</si>
  <si>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</si>
  <si>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</si>
  <si>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</si>
  <si>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</si>
  <si>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</si>
  <si>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</si>
  <si>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</si>
  <si>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</si>
  <si>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</si>
  <si>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</si>
  <si>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</si>
  <si>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</si>
  <si>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</si>
  <si>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</si>
  <si>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</si>
  <si>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</si>
  <si>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</si>
  <si>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</si>
  <si>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</si>
  <si>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</si>
  <si>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</si>
  <si>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</si>
  <si>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</si>
  <si>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</si>
  <si>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</si>
  <si>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</si>
  <si>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</si>
  <si>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</si>
  <si>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</si>
  <si>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</si>
  <si>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</si>
  <si>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</si>
  <si>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</si>
  <si>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</si>
  <si>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</si>
  <si>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</si>
  <si>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</si>
  <si>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</si>
  <si>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</si>
  <si>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</si>
  <si>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</si>
  <si>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</si>
  <si>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</si>
  <si>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</si>
  <si>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</si>
  <si>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</si>
  <si>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</si>
  <si>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</si>
  <si>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</si>
  <si>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</si>
  <si>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</si>
  <si>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</si>
  <si>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</si>
  <si>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</si>
  <si>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</si>
  <si>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</si>
  <si>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</si>
  <si>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</si>
  <si>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</si>
  <si>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</si>
  <si>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</si>
  <si>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</si>
  <si>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</si>
  <si>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</si>
  <si>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</si>
  <si>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</si>
  <si>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</si>
  <si>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</si>
  <si>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</si>
  <si>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</si>
  <si>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</si>
  <si>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</si>
  <si>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</si>
  <si>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</si>
  <si>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</si>
  <si>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</si>
  <si>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</si>
  <si>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</si>
  <si>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</si>
  <si>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</si>
  <si>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</si>
  <si>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</si>
  <si>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</si>
  <si>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</si>
  <si>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</si>
  <si>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</si>
  <si>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</si>
  <si>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</si>
  <si>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</si>
  <si>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</si>
  <si>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</si>
  <si>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</si>
  <si>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</si>
  <si>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</si>
  <si>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</si>
  <si>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</si>
  <si>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</si>
  <si>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</si>
  <si>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</si>
  <si>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</si>
  <si>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</si>
  <si>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</si>
  <si>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</si>
  <si>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</si>
  <si>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</si>
  <si>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</si>
  <si>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</si>
  <si>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</si>
  <si>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</si>
  <si>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</si>
  <si>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</si>
  <si>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</si>
  <si>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</si>
  <si>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</si>
  <si>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</si>
  <si>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</si>
  <si>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</si>
  <si>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</si>
  <si>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</si>
  <si>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</si>
  <si>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</si>
  <si>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</si>
  <si>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</si>
  <si>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</si>
  <si>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</si>
  <si>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</si>
  <si>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</si>
  <si>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</si>
  <si>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</si>
  <si>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</si>
  <si>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</si>
  <si>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</si>
  <si>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</si>
  <si>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</si>
  <si>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</si>
  <si>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</si>
  <si>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</si>
  <si>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</si>
  <si>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</si>
  <si>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</si>
  <si>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</si>
  <si>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</si>
  <si>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</si>
  <si>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</si>
  <si>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</si>
  <si>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</si>
  <si>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</si>
  <si>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</si>
  <si>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</si>
  <si>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</si>
  <si>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</si>
  <si>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</si>
  <si>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</si>
  <si>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</si>
  <si>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</si>
  <si>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</si>
  <si>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</si>
  <si>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</si>
  <si>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</si>
  <si>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</si>
  <si>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</si>
  <si>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</si>
  <si>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</si>
  <si>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</si>
  <si>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</si>
  <si>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</si>
  <si>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</si>
  <si>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</si>
  <si>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</si>
  <si>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</si>
  <si>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</si>
  <si>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</si>
  <si>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</si>
  <si>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</si>
  <si>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</si>
  <si>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</si>
  <si>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</si>
  <si>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</si>
  <si>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</si>
  <si>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</si>
  <si>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</si>
  <si>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</si>
  <si>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</si>
  <si>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</si>
  <si>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</si>
  <si>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</si>
  <si>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</si>
  <si>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</si>
  <si>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</si>
  <si>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</si>
  <si>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</si>
  <si>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</si>
  <si>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</si>
  <si>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</si>
  <si>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</si>
  <si>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</si>
  <si>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</si>
  <si>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</si>
  <si>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</si>
  <si>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</si>
  <si>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</si>
  <si>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</si>
  <si>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</si>
  <si>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</si>
  <si>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</si>
  <si>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</si>
  <si>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</si>
  <si>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</si>
  <si>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</si>
  <si>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</si>
  <si>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</si>
  <si>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</si>
  <si>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</si>
  <si>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</si>
  <si>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</si>
  <si>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</si>
  <si>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</si>
  <si>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</si>
  <si>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</si>
  <si>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</si>
  <si>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</si>
  <si>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</si>
  <si>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</si>
  <si>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</si>
  <si>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</si>
  <si>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</si>
  <si>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</si>
  <si>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</si>
  <si>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</si>
  <si>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</si>
  <si>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</si>
  <si>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</si>
  <si>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</si>
  <si>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</si>
  <si>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</si>
  <si>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</si>
  <si>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</si>
  <si>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</si>
  <si>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</si>
  <si>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</si>
  <si>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</si>
  <si>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</si>
  <si>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</si>
  <si>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</si>
  <si>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</si>
  <si>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</si>
  <si>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</si>
  <si>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</si>
  <si>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</si>
  <si>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</si>
  <si>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</si>
  <si>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</si>
  <si>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</si>
  <si>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</si>
  <si>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</si>
  <si>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</si>
  <si>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</si>
  <si>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</si>
  <si>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</si>
  <si>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</si>
  <si>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</si>
  <si>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</si>
  <si>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</si>
  <si>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</si>
  <si>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</si>
  <si>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</si>
  <si>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</si>
  <si>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</si>
  <si>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</si>
  <si>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</si>
  <si>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</si>
  <si>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</si>
  <si>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</si>
  <si>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</si>
  <si>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</si>
  <si>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</si>
  <si>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</si>
  <si>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</si>
  <si>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</si>
  <si>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</si>
  <si>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</si>
  <si>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</si>
  <si>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</si>
  <si>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</si>
  <si>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</si>
  <si>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</si>
  <si>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</si>
  <si>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</si>
  <si>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</si>
  <si>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</si>
  <si>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</si>
  <si>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</si>
  <si>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</si>
  <si>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</si>
  <si>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</si>
  <si>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</si>
  <si>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</si>
  <si>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</si>
  <si>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</si>
  <si>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</si>
  <si>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</si>
  <si>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</si>
  <si>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</si>
  <si>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</si>
  <si>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</si>
  <si>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</si>
  <si>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</si>
  <si>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</si>
  <si>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</si>
  <si>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</si>
  <si>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</si>
  <si>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</si>
  <si>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</si>
  <si>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</si>
  <si>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</si>
  <si>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</si>
  <si>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</si>
  <si>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</si>
  <si>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</si>
  <si>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</si>
  <si>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</si>
  <si>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</si>
  <si>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</si>
  <si>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</si>
  <si>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</si>
  <si>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</si>
  <si>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</si>
  <si>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</si>
  <si>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</si>
  <si>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</si>
  <si>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</si>
  <si>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</si>
  <si>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</si>
  <si>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</si>
  <si>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</si>
  <si>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</si>
  <si>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</si>
  <si>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</si>
  <si>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</si>
  <si>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</si>
  <si>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</si>
  <si>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</si>
  <si>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</si>
  <si>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</si>
  <si>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</si>
  <si>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</si>
  <si>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</si>
  <si>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</si>
  <si>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</si>
  <si>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</si>
  <si>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</si>
  <si>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</si>
  <si>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</si>
  <si>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</si>
  <si>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</si>
  <si>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</si>
  <si>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</si>
  <si>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</si>
  <si>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</si>
  <si>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</si>
  <si>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</si>
  <si>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</si>
  <si>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</si>
  <si>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</si>
  <si>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</si>
  <si>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</si>
  <si>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</si>
  <si>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</si>
  <si>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</si>
  <si>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</si>
  <si>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</si>
  <si>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</si>
  <si>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</si>
  <si>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</si>
  <si>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</si>
  <si>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</si>
  <si>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</si>
  <si>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</si>
  <si>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</si>
  <si>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</si>
  <si>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</si>
  <si>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</si>
  <si>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</si>
  <si>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</si>
  <si>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</si>
  <si>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</si>
  <si>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</si>
  <si>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</si>
  <si>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</si>
  <si>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</si>
  <si>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</si>
  <si>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</si>
  <si>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</si>
  <si>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</si>
  <si>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</si>
  <si>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</si>
  <si>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</si>
  <si>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</si>
  <si>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</si>
  <si>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</si>
  <si>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</si>
  <si>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</si>
  <si>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</si>
  <si>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</si>
  <si>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</si>
  <si>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</si>
  <si>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</si>
  <si>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</si>
  <si>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</si>
  <si>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</si>
  <si>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</si>
  <si>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</si>
  <si>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</si>
  <si>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</si>
  <si>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</si>
  <si>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</si>
  <si>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</si>
  <si>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</si>
  <si>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</si>
  <si>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</si>
  <si>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</si>
  <si>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</si>
  <si>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</si>
  <si>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</si>
  <si>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</si>
  <si>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</si>
  <si>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</si>
  <si>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</si>
  <si>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</si>
  <si>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</si>
  <si>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</si>
  <si>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</si>
  <si>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</si>
  <si>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</si>
  <si>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</si>
  <si>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</si>
  <si>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</si>
  <si>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</si>
  <si>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</si>
  <si>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</si>
  <si>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</si>
  <si>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</si>
  <si>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</si>
  <si>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</si>
  <si>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</si>
  <si>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</si>
  <si>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</si>
  <si>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</si>
  <si>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</si>
  <si>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</si>
  <si>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</si>
  <si>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</si>
  <si>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</si>
  <si>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</si>
  <si>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</si>
  <si>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</si>
  <si>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</si>
  <si>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</si>
  <si>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</si>
  <si>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</si>
  <si>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</si>
  <si>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</si>
  <si>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</si>
  <si>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</si>
  <si>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</si>
  <si>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</si>
  <si>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</si>
  <si>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</si>
  <si>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</si>
  <si>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</si>
  <si>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</si>
  <si>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</si>
  <si>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</si>
  <si>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</si>
  <si>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</si>
  <si>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</si>
  <si>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</si>
  <si>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</si>
  <si>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</si>
  <si>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</si>
  <si>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</si>
  <si>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</si>
  <si>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</si>
  <si>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</si>
  <si>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</si>
  <si>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</si>
  <si>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</si>
  <si>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</si>
  <si>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</si>
  <si>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</si>
  <si>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</si>
  <si>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</si>
  <si>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</si>
  <si>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</si>
  <si>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</si>
  <si>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</si>
  <si>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</si>
  <si>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</si>
  <si>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</si>
  <si>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</si>
  <si>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</si>
  <si>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</si>
  <si>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</si>
  <si>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</si>
  <si>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</si>
  <si>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</si>
  <si>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</si>
  <si>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</si>
  <si>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</si>
  <si>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</si>
  <si>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</si>
  <si>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</si>
  <si>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</si>
  <si>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</si>
  <si>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</si>
  <si>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</si>
  <si>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</si>
  <si>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</si>
  <si>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</si>
  <si>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</si>
  <si>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</si>
  <si>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</si>
  <si>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</si>
  <si>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</si>
  <si>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</si>
  <si>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</si>
  <si>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</si>
  <si>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</si>
  <si>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</si>
  <si>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</si>
  <si>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</si>
  <si>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</si>
  <si>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</si>
  <si>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</si>
  <si>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</si>
  <si>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</si>
  <si>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</si>
  <si>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</si>
  <si>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</si>
  <si>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</si>
  <si>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</si>
  <si>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</si>
  <si>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</si>
  <si>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</si>
  <si>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</si>
  <si>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</si>
  <si>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</si>
  <si>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</si>
  <si>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</si>
  <si>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</si>
  <si>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</si>
  <si>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</si>
  <si>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</si>
  <si>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</si>
  <si>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</si>
  <si>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</si>
  <si>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</si>
  <si>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</si>
  <si>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</si>
  <si>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</si>
  <si>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</si>
  <si>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</si>
  <si>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</si>
  <si>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</si>
  <si>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</si>
  <si>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</si>
  <si>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</si>
  <si>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</si>
  <si>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</si>
  <si>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</si>
  <si>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</si>
  <si>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</si>
  <si>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</si>
  <si>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</si>
  <si>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</si>
  <si>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</si>
  <si>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</si>
  <si>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</si>
  <si>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</si>
  <si>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</si>
  <si>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</si>
  <si>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</si>
  <si>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</si>
  <si>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</si>
  <si>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</si>
  <si>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</si>
  <si>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</si>
  <si>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</si>
  <si>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</si>
  <si>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</si>
  <si>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</si>
  <si>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</si>
  <si>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</si>
  <si>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</si>
  <si>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</si>
  <si>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</si>
  <si>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</si>
  <si>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</si>
  <si>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</si>
  <si>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</si>
  <si>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</si>
  <si>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</si>
  <si>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</si>
  <si>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</si>
  <si>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</si>
  <si>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</si>
  <si>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</si>
  <si>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</si>
  <si>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</si>
  <si>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</si>
  <si>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</si>
  <si>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</si>
  <si>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</si>
  <si>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</si>
  <si>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</si>
  <si>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</si>
  <si>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</si>
  <si>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</si>
  <si>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</si>
  <si>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</si>
  <si>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</si>
  <si>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</si>
  <si>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</si>
  <si>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</si>
  <si>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</si>
  <si>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</si>
  <si>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</si>
  <si>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</si>
  <si>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</si>
  <si>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</si>
  <si>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</si>
  <si>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</si>
  <si>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</si>
  <si>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</si>
  <si>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</si>
  <si>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</si>
  <si>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</si>
  <si>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</si>
  <si>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</si>
  <si>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</si>
  <si>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</si>
  <si>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</si>
  <si>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</si>
  <si>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</si>
  <si>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</si>
  <si>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</si>
  <si>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</si>
  <si>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</si>
  <si>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</si>
  <si>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</si>
  <si>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</si>
  <si>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</si>
  <si>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</si>
  <si>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</si>
  <si>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</si>
  <si>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</si>
  <si>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</si>
  <si>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</si>
  <si>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</si>
  <si>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</si>
  <si>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</si>
  <si>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</si>
  <si>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</si>
  <si>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</si>
  <si>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</si>
  <si>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</si>
  <si>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</si>
  <si>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</si>
  <si>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</si>
  <si>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</si>
  <si>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</si>
  <si>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</si>
  <si>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</si>
  <si>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</si>
  <si>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</si>
  <si>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</si>
  <si>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</si>
  <si>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</si>
  <si>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</si>
  <si>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</si>
  <si>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</si>
  <si>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</si>
  <si>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</si>
  <si>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</si>
  <si>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</si>
  <si>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</si>
  <si>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</si>
  <si>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</si>
  <si>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</si>
  <si>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</si>
  <si>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</si>
  <si>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</si>
  <si>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</si>
  <si>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</si>
  <si>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</si>
  <si>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</si>
  <si>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</si>
  <si>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</si>
  <si>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</si>
  <si>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</si>
  <si>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</si>
  <si>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</si>
  <si>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</si>
  <si>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</si>
  <si>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</si>
  <si>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</si>
  <si>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</si>
  <si>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</si>
  <si>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</si>
  <si>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</si>
  <si>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</si>
  <si>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</si>
  <si>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</si>
  <si>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</si>
  <si>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</si>
  <si>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</si>
  <si>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</si>
  <si>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</si>
  <si>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</si>
  <si>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</si>
  <si>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</si>
  <si>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</si>
  <si>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</si>
  <si>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</si>
  <si>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</si>
  <si>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</si>
  <si>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</si>
  <si>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</si>
  <si>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</si>
  <si>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</si>
  <si>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</si>
  <si>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</si>
  <si>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</si>
  <si>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</si>
  <si>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</si>
  <si>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</si>
  <si>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</si>
  <si>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</si>
  <si>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</si>
  <si>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</si>
  <si>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</si>
  <si>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</si>
  <si>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</si>
  <si>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</si>
  <si>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</si>
  <si>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</si>
  <si>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</si>
  <si>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</si>
  <si>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</si>
  <si>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</si>
  <si>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</si>
  <si>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</si>
  <si>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</si>
  <si>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</si>
  <si>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</si>
  <si>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</si>
  <si>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</si>
  <si>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</si>
  <si>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</si>
  <si>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</si>
  <si>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</si>
  <si>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</si>
  <si>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</si>
  <si>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</si>
  <si>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</si>
  <si>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</si>
  <si>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</si>
  <si>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</si>
  <si>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</si>
  <si>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</si>
  <si>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</si>
  <si>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</si>
  <si>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</si>
  <si>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</si>
  <si>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</si>
  <si>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</si>
  <si>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</si>
  <si>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</si>
  <si>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</si>
  <si>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</si>
  <si>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</si>
  <si>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</si>
  <si>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</si>
  <si>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</si>
  <si>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</si>
  <si>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</si>
  <si>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</si>
  <si>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</si>
  <si>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</si>
  <si>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</si>
  <si>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</si>
  <si>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</si>
  <si>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</si>
  <si>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</si>
  <si>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</si>
  <si>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</si>
  <si>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</si>
  <si>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</si>
  <si>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</si>
  <si>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</si>
  <si>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</si>
  <si>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</si>
  <si>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</si>
  <si>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</si>
  <si>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</si>
  <si>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</si>
  <si>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</si>
  <si>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</si>
  <si>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</si>
  <si>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</si>
  <si>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</si>
  <si>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</si>
  <si>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</si>
  <si>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</si>
  <si>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</si>
  <si>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</si>
  <si>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</si>
  <si>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</si>
  <si>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</si>
  <si>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</si>
  <si>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</si>
  <si>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</si>
  <si>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</si>
  <si>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</si>
  <si>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</si>
  <si>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</si>
  <si>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</si>
  <si>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</si>
  <si>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</si>
  <si>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</si>
  <si>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</si>
  <si>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</si>
  <si>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</si>
  <si>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</si>
  <si>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</si>
  <si>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</si>
  <si>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</si>
  <si>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</si>
  <si>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</si>
  <si>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</si>
  <si>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</si>
  <si>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</si>
  <si>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</si>
  <si>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</si>
  <si>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</si>
  <si>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</si>
  <si>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</si>
  <si>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</si>
  <si>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</si>
  <si>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</si>
  <si>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</si>
  <si>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</si>
  <si>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</si>
  <si>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</si>
  <si>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</si>
  <si>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</si>
  <si>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</si>
  <si>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</si>
  <si>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</si>
  <si>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</si>
  <si>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</si>
  <si>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</si>
  <si>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</si>
  <si>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</si>
  <si>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</si>
  <si>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</si>
  <si>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</si>
  <si>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</si>
  <si>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</si>
  <si>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</si>
  <si>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</si>
  <si>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</si>
  <si>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</si>
  <si>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</si>
  <si>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</si>
  <si>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</si>
  <si>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</si>
  <si>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</si>
  <si>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</si>
  <si>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</si>
  <si>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</si>
  <si>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</si>
  <si>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</si>
  <si>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</si>
  <si>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</si>
  <si>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</si>
  <si>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</si>
  <si>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</si>
  <si>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</si>
  <si>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</si>
  <si>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</si>
  <si>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</si>
  <si>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</si>
  <si>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</si>
  <si>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</si>
  <si>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</si>
  <si>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</si>
  <si>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</si>
  <si>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</si>
  <si>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</si>
  <si>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</si>
  <si>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</si>
  <si>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</si>
  <si>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</si>
  <si>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</si>
  <si>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</si>
  <si>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</si>
  <si>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</si>
  <si>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</si>
  <si>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</si>
  <si>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</si>
  <si>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</si>
  <si>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</si>
  <si>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</si>
  <si>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</si>
  <si>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</si>
  <si>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</si>
  <si>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</si>
  <si>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</si>
  <si>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</si>
  <si>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</si>
  <si>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</si>
  <si>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</si>
  <si>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</si>
  <si>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</si>
  <si>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</si>
  <si>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</si>
  <si>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</si>
  <si>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</si>
  <si>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</si>
  <si>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</si>
  <si>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</si>
  <si>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</si>
  <si>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</si>
  <si>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</si>
  <si>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</si>
  <si>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</si>
  <si>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</si>
  <si>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</si>
  <si>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</si>
  <si>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</si>
  <si>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</si>
  <si>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</si>
  <si>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</si>
  <si>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</si>
  <si>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</si>
  <si>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</si>
  <si>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</si>
  <si>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</si>
  <si>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</si>
  <si>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</si>
  <si>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</si>
  <si>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</si>
  <si>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</si>
  <si>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</si>
  <si>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</si>
  <si>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</si>
  <si>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</si>
  <si>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</si>
  <si>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</si>
  <si>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</si>
  <si>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</si>
  <si>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</si>
  <si>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</si>
  <si>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</si>
  <si>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</si>
  <si>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</si>
  <si>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</si>
  <si>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</si>
  <si>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</si>
  <si>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</si>
  <si>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</si>
  <si>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</si>
  <si>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</si>
  <si>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</si>
  <si>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</si>
  <si>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</si>
  <si>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</si>
  <si>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</si>
  <si>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</si>
  <si>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</si>
  <si>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</si>
  <si>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</si>
  <si>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</si>
  <si>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</si>
  <si>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</si>
  <si>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</si>
  <si>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</si>
  <si>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</si>
  <si>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</si>
  <si>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</si>
  <si>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</si>
  <si>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</si>
  <si>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</si>
  <si>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</si>
  <si>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</si>
  <si>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</si>
  <si>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</si>
  <si>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</si>
  <si>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</si>
  <si>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</si>
  <si>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</si>
  <si>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</si>
  <si>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</si>
  <si>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</si>
  <si>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</si>
  <si>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</si>
  <si>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</si>
  <si>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</si>
  <si>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</si>
  <si>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</si>
  <si>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</si>
  <si>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</si>
  <si>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</si>
  <si>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</si>
  <si>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</si>
  <si>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</si>
  <si>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</si>
  <si>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</si>
  <si>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</si>
  <si>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</si>
  <si>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</si>
  <si>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</si>
  <si>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</si>
  <si>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</si>
  <si>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</si>
  <si>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</si>
  <si>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</si>
  <si>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</si>
  <si>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</si>
  <si>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</si>
  <si>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</si>
  <si>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</si>
  <si>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</si>
  <si>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</si>
  <si>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</si>
  <si>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</si>
  <si>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</si>
  <si>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</si>
  <si>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</si>
  <si>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</si>
  <si>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</si>
  <si>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</si>
  <si>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</si>
  <si>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</si>
  <si>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</si>
  <si>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</si>
  <si>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</si>
  <si>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</si>
  <si>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</si>
  <si>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</si>
  <si>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</si>
  <si>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</si>
  <si>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</si>
  <si>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</si>
  <si>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</si>
  <si>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</si>
  <si>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</si>
  <si>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</si>
  <si>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</si>
  <si>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</si>
  <si>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</si>
  <si>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</si>
  <si>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</si>
  <si>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</si>
  <si>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</si>
  <si>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</si>
  <si>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</si>
  <si>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</si>
  <si>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</si>
  <si>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</si>
  <si>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</si>
  <si>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</si>
  <si>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</si>
  <si>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</si>
  <si>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</si>
  <si>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</si>
  <si>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</si>
  <si>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</si>
  <si>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</si>
  <si>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</si>
  <si>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</si>
  <si>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</si>
  <si>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</si>
  <si>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</si>
  <si>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</si>
  <si>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</si>
  <si>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</si>
  <si>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</si>
  <si>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</si>
  <si>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</si>
  <si>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</si>
  <si>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</si>
  <si>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</si>
  <si>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</si>
  <si>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</si>
  <si>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</si>
  <si>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</si>
  <si>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</si>
  <si>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</si>
  <si>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</si>
  <si>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</si>
  <si>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</si>
  <si>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</si>
  <si>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</si>
  <si>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</si>
  <si>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</si>
  <si>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</si>
  <si>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</si>
  <si>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</si>
  <si>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</si>
  <si>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</si>
  <si>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</si>
  <si>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</si>
  <si>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</si>
  <si>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</si>
  <si>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</si>
  <si>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</si>
  <si>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</si>
  <si>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</si>
  <si>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</si>
  <si>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</si>
  <si>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</si>
  <si>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</si>
  <si>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</si>
  <si>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</si>
  <si>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</si>
  <si>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</si>
  <si>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</si>
  <si>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</si>
  <si>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</si>
  <si>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</si>
  <si>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</si>
  <si>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</si>
  <si>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</si>
  <si>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</si>
  <si>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</si>
  <si>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</si>
  <si>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</si>
  <si>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</si>
  <si>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</si>
  <si>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</si>
  <si>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</si>
  <si>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</si>
  <si>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</si>
  <si>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</si>
  <si>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</si>
  <si>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</si>
  <si>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</si>
  <si>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</si>
  <si>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</si>
  <si>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</si>
  <si>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</si>
  <si>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</si>
  <si>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</si>
  <si>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</si>
  <si>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</si>
  <si>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</si>
  <si>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</si>
  <si>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</si>
  <si>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</si>
  <si>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</si>
  <si>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</si>
  <si>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</si>
  <si>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</si>
  <si>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</si>
  <si>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</si>
  <si>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</si>
  <si>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</si>
  <si>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</si>
  <si>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</si>
  <si>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</si>
  <si>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</si>
  <si>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</si>
  <si>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</si>
  <si>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</si>
  <si>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</si>
  <si>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</si>
  <si>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</si>
  <si>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</si>
  <si>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</si>
  <si>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</si>
  <si>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</si>
  <si>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</si>
  <si>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</si>
  <si>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</si>
  <si>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</si>
  <si>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</si>
  <si>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</si>
  <si>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</si>
  <si>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</si>
  <si>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</si>
  <si>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</si>
  <si>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</si>
  <si>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</si>
  <si>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</si>
  <si>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</si>
  <si>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</si>
  <si>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</si>
  <si>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</si>
  <si>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</si>
  <si>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</si>
  <si>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</si>
  <si>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</si>
  <si>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</si>
  <si>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</si>
  <si>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</si>
  <si>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</si>
  <si>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</si>
  <si>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</si>
  <si>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</si>
  <si>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</si>
  <si>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</si>
  <si>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</si>
  <si>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</si>
  <si>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</si>
  <si>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</si>
  <si>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</si>
  <si>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</si>
  <si>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</si>
  <si>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</si>
  <si>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</si>
  <si>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</si>
  <si>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</si>
  <si>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</si>
  <si>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</si>
  <si>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</si>
  <si>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</si>
  <si>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</si>
  <si>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</si>
  <si>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</si>
  <si>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</si>
  <si>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</si>
  <si>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</si>
  <si>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</si>
  <si>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</si>
  <si>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</si>
  <si>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</si>
  <si>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</si>
  <si>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</si>
  <si>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</si>
  <si>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</si>
  <si>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</si>
  <si>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</si>
  <si>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</si>
  <si>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</si>
  <si>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</si>
  <si>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</si>
  <si>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</si>
  <si>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</si>
  <si>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</si>
  <si>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</si>
  <si>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</si>
  <si>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</si>
  <si>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</si>
  <si>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</si>
  <si>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</si>
  <si>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</si>
  <si>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</si>
  <si>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</si>
  <si>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</si>
  <si>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</si>
  <si>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</si>
  <si>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</si>
  <si>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</si>
  <si>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</si>
  <si>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</si>
  <si>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</si>
  <si>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</si>
  <si>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</si>
  <si>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</si>
  <si>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</si>
  <si>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</si>
  <si>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</si>
  <si>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</si>
  <si>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</si>
  <si>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</si>
  <si>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</si>
  <si>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</si>
  <si>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</si>
  <si>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</si>
  <si>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</si>
  <si>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</si>
  <si>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</si>
  <si>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</si>
  <si>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</si>
  <si>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</si>
  <si>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</si>
  <si>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</si>
  <si>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</si>
  <si>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</si>
  <si>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</si>
  <si>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</si>
  <si>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</si>
  <si>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</si>
  <si>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</si>
  <si>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</si>
  <si>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</si>
  <si>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</si>
  <si>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</si>
  <si>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</si>
  <si>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</si>
  <si>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</si>
  <si>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</si>
  <si>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</si>
  <si>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</si>
  <si>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</si>
  <si>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</si>
  <si>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</si>
  <si>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</si>
  <si>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</si>
  <si>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</si>
  <si>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</si>
  <si>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</si>
  <si>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</si>
  <si>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</si>
  <si>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</si>
  <si>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</si>
  <si>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</si>
  <si>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</si>
  <si>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</si>
  <si>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</si>
  <si>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</si>
  <si>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</si>
  <si>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</si>
  <si>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</si>
  <si>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</si>
  <si>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</si>
  <si>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</si>
  <si>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</si>
  <si>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</si>
  <si>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</si>
  <si>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</si>
  <si>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</si>
  <si>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</si>
  <si>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</si>
  <si>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</si>
  <si>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</si>
  <si>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</si>
  <si>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</si>
  <si>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</si>
  <si>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</si>
  <si>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</si>
  <si>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</si>
  <si>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</si>
  <si>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</si>
  <si>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</si>
  <si>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</si>
  <si>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</si>
  <si>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</si>
  <si>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</si>
  <si>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</si>
  <si>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</si>
  <si>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</si>
  <si>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</si>
  <si>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</si>
  <si>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</si>
  <si>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</si>
  <si>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</si>
  <si>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</si>
  <si>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</si>
  <si>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</si>
  <si>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</si>
  <si>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</si>
  <si>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</si>
  <si>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</si>
  <si>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</si>
  <si>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</si>
  <si>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</si>
  <si>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</si>
  <si>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</si>
  <si>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</si>
  <si>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</si>
  <si>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</si>
  <si>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</si>
  <si>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</si>
  <si>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</si>
  <si>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</si>
  <si>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</si>
  <si>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</si>
  <si>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</si>
  <si>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</si>
  <si>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</si>
  <si>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</si>
  <si>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</si>
  <si>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</si>
  <si>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</si>
  <si>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</si>
  <si>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</si>
  <si>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</si>
  <si>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</si>
  <si>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</si>
  <si>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</si>
  <si>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</si>
  <si>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</si>
  <si>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</si>
  <si>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</si>
  <si>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</si>
  <si>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</si>
  <si>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</si>
  <si>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</si>
  <si>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</si>
  <si>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</si>
  <si>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</si>
  <si>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</si>
  <si>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</si>
  <si>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</si>
  <si>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</si>
  <si>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</si>
  <si>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</si>
  <si>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</si>
  <si>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</si>
  <si>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</si>
  <si>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</si>
  <si>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</si>
  <si>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</si>
  <si>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</si>
  <si>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</si>
  <si>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</si>
  <si>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</si>
  <si>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</si>
  <si>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</si>
  <si>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</si>
  <si>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</si>
  <si>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</si>
  <si>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</si>
  <si>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</si>
  <si>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</si>
  <si>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</si>
  <si>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</si>
  <si>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</si>
  <si>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</si>
  <si>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</si>
  <si>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</si>
  <si>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</si>
  <si>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</si>
  <si>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</si>
  <si>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</si>
  <si>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</si>
  <si>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</si>
  <si>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</si>
  <si>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</si>
  <si>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</si>
  <si>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</si>
  <si>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</si>
  <si>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</si>
  <si>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</si>
  <si>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</si>
  <si>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</si>
  <si>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</si>
  <si>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</si>
  <si>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</si>
  <si>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</si>
  <si>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</si>
  <si>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</si>
  <si>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</si>
  <si>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</si>
  <si>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</si>
  <si>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</si>
  <si>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</si>
  <si>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</si>
  <si>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</si>
  <si>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</si>
  <si>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</si>
  <si>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</si>
  <si>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</si>
  <si>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</si>
  <si>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</si>
  <si>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</si>
  <si>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</si>
  <si>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</si>
  <si>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</si>
  <si>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</si>
  <si>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</si>
  <si>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</si>
  <si>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</si>
  <si>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</si>
  <si>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</si>
  <si>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</si>
  <si>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</si>
  <si>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</si>
  <si>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</si>
  <si>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</si>
  <si>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</si>
  <si>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</si>
  <si>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</si>
  <si>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</si>
  <si>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</si>
  <si>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</si>
  <si>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</si>
  <si>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</si>
  <si>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</si>
  <si>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</si>
  <si>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</si>
  <si>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</si>
  <si>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</si>
  <si>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</si>
  <si>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</si>
  <si>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</si>
  <si>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</si>
  <si>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</si>
  <si>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</si>
  <si>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</si>
  <si>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</si>
  <si>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</si>
  <si>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</si>
  <si>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</si>
  <si>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</si>
  <si>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</si>
  <si>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</si>
  <si>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</si>
  <si>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</si>
  <si>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</si>
  <si>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</si>
  <si>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</si>
  <si>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</si>
  <si>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</si>
  <si>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</si>
  <si>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</si>
  <si>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</si>
  <si>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</si>
  <si>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</si>
  <si>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</si>
  <si>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</si>
  <si>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</si>
  <si>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</si>
  <si>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</si>
  <si>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</si>
  <si>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</si>
  <si>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</si>
  <si>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</si>
  <si>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</si>
  <si>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</si>
  <si>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</si>
  <si>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</si>
  <si>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</si>
  <si>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</si>
  <si>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</si>
  <si>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</si>
  <si>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</si>
  <si>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</si>
  <si>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</si>
  <si>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</si>
  <si>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</si>
  <si>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</si>
  <si>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</si>
  <si>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</si>
  <si>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</si>
  <si>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</si>
  <si>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</si>
  <si>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</si>
  <si>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</si>
  <si>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</si>
  <si>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</si>
  <si>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</si>
  <si>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</si>
  <si>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</si>
  <si>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</si>
  <si>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</si>
  <si>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</si>
  <si>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</si>
  <si>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</si>
  <si>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</si>
  <si>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</si>
  <si>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</si>
  <si>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</si>
  <si>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</si>
  <si>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</si>
  <si>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</si>
  <si>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</si>
  <si>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</si>
  <si>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</si>
  <si>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</si>
  <si>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</si>
  <si>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</si>
  <si>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</si>
  <si>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</si>
  <si>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</si>
  <si>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</si>
  <si>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</si>
  <si>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</si>
  <si>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</si>
  <si>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</si>
  <si>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</si>
  <si>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</si>
  <si>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</si>
  <si>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</si>
  <si>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</si>
  <si>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</si>
  <si>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</si>
  <si>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</si>
  <si>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</si>
  <si>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</si>
  <si>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</si>
  <si>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</si>
  <si>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</si>
  <si>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</si>
  <si>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</si>
  <si>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</si>
  <si>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</si>
  <si>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</si>
  <si>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</si>
  <si>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</si>
  <si>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</si>
  <si>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</si>
  <si>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</si>
  <si>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</si>
  <si>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</si>
  <si>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</si>
  <si>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</si>
  <si>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</si>
  <si>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</si>
  <si>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</si>
  <si>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</si>
  <si>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</si>
  <si>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</si>
  <si>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</si>
  <si>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</si>
  <si>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</si>
  <si>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</si>
  <si>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</si>
  <si>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</si>
  <si>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</si>
  <si>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</si>
  <si>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</si>
  <si>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</si>
  <si>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</si>
  <si>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</si>
  <si>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</si>
  <si>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</si>
  <si>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</si>
  <si>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</si>
  <si>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</si>
  <si>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</si>
  <si>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</si>
  <si>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</si>
  <si>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</si>
  <si>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</si>
  <si>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</si>
  <si>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</si>
  <si>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</si>
  <si>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</si>
  <si>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</si>
  <si>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</si>
  <si>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</si>
  <si>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</si>
  <si>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</si>
  <si>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</si>
  <si>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</si>
  <si>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</si>
  <si>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</si>
  <si>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</si>
  <si>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</si>
  <si>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</si>
  <si>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</si>
  <si>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</si>
  <si>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</si>
  <si>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</si>
  <si>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</si>
  <si>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</si>
  <si>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</si>
  <si>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</si>
  <si>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</si>
  <si>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</si>
  <si>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</si>
  <si>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</si>
  <si>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</si>
  <si>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</si>
  <si>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</si>
  <si>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</si>
  <si>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</si>
  <si>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</si>
  <si>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</si>
  <si>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</si>
  <si>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</si>
  <si>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</si>
  <si>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</si>
  <si>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</si>
  <si>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</si>
  <si>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</si>
  <si>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</si>
  <si>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</si>
  <si>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</si>
  <si>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</si>
  <si>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</si>
  <si>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</si>
  <si>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</si>
  <si>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</si>
  <si>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</si>
  <si>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</si>
  <si>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</si>
  <si>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</si>
  <si>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</si>
  <si>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</si>
  <si>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</si>
  <si>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</si>
  <si>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</si>
  <si>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</si>
  <si>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</si>
  <si>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</si>
  <si>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</si>
  <si>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</si>
  <si>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</si>
  <si>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</si>
  <si>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</si>
  <si>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</si>
  <si>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</si>
  <si>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</si>
  <si>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</si>
  <si>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</si>
  <si>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</si>
  <si>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</si>
  <si>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</si>
  <si>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</si>
  <si>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</si>
  <si>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</si>
  <si>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</si>
  <si>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</si>
  <si>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</si>
  <si>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</si>
  <si>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</si>
  <si>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</si>
  <si>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</si>
  <si>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</si>
  <si>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</si>
  <si>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</si>
  <si>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</si>
  <si>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</si>
  <si>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</si>
  <si>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</si>
  <si>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</si>
  <si>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</si>
  <si>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</si>
  <si>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</si>
  <si>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</si>
  <si>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</si>
  <si>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</si>
  <si>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</si>
  <si>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</si>
  <si>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</si>
  <si>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</si>
  <si>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</si>
  <si>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</si>
  <si>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</si>
  <si>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</si>
  <si>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</si>
  <si>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</si>
  <si>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</si>
  <si>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</si>
  <si>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</si>
  <si>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</si>
  <si>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</si>
  <si>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</si>
  <si>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</si>
  <si>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</si>
  <si>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</si>
  <si>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</si>
  <si>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</si>
  <si>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</si>
  <si>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</si>
  <si>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</si>
  <si>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</si>
  <si>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</si>
  <si>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</si>
  <si>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</si>
  <si>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</si>
  <si>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</si>
  <si>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</si>
  <si>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</si>
  <si>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</si>
  <si>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</si>
  <si>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</si>
  <si>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</si>
  <si>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</si>
  <si>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</si>
  <si>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</si>
  <si>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</si>
  <si>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</si>
  <si>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</si>
  <si>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</si>
  <si>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</si>
  <si>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</si>
  <si>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</si>
  <si>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</si>
  <si>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</si>
  <si>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</si>
  <si>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</si>
  <si>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</si>
  <si>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</si>
  <si>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</si>
  <si>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</si>
  <si>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</si>
  <si>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</si>
  <si>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</si>
  <si>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</si>
  <si>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</si>
  <si>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</si>
  <si>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</si>
  <si>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</si>
  <si>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</si>
  <si>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</si>
  <si>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</si>
  <si>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</si>
  <si>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</si>
  <si>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</si>
  <si>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</si>
  <si>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</si>
  <si>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</si>
  <si>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</si>
  <si>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</si>
  <si>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</si>
  <si>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</si>
  <si>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</si>
  <si>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</si>
  <si>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</si>
  <si>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</si>
  <si>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</si>
  <si>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</si>
  <si>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</si>
  <si>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</si>
  <si>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</si>
  <si>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</si>
  <si>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</si>
  <si>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</si>
  <si>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</si>
  <si>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</si>
  <si>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</si>
  <si>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</si>
  <si>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</si>
  <si>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</si>
  <si>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</si>
  <si>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</si>
  <si>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</si>
  <si>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</si>
  <si>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</si>
  <si>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</si>
  <si>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</si>
  <si>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</si>
  <si>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</si>
  <si>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</si>
  <si>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</si>
  <si>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</si>
  <si>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</si>
  <si>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</si>
  <si>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</si>
  <si>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</si>
  <si>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</si>
  <si>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</si>
  <si>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</si>
  <si>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</si>
  <si>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</si>
  <si>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</si>
  <si>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</si>
  <si>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</si>
  <si>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</si>
  <si>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</si>
  <si>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</si>
  <si>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</si>
  <si>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</si>
  <si>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</si>
  <si>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</si>
  <si>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</si>
  <si>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</si>
  <si>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</si>
  <si>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</si>
  <si>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</si>
  <si>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</si>
  <si>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</si>
  <si>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</si>
  <si>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</si>
  <si>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</si>
  <si>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</si>
  <si>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</si>
  <si>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</si>
  <si>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</si>
  <si>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</si>
  <si>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</si>
  <si>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</si>
  <si>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</si>
  <si>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</si>
  <si>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</si>
  <si>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</si>
  <si>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</si>
  <si>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</si>
  <si>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</si>
  <si>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</si>
  <si>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</si>
  <si>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</si>
  <si>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</si>
  <si>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</si>
  <si>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</si>
  <si>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</si>
  <si>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</si>
  <si>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</si>
  <si>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</si>
  <si>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</si>
  <si>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</si>
  <si>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</si>
  <si>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</si>
  <si>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</si>
  <si>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</si>
  <si>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</si>
  <si>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</si>
  <si>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</si>
  <si>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</si>
  <si>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</si>
  <si>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</si>
  <si>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</si>
  <si>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</si>
  <si>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</si>
  <si>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</si>
  <si>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</si>
  <si>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</si>
  <si>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</si>
  <si>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</si>
  <si>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</si>
  <si>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</si>
  <si>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</si>
  <si>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</si>
  <si>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</si>
  <si>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</si>
  <si>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</si>
  <si>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</si>
  <si>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</si>
  <si>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</si>
  <si>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</si>
  <si>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</si>
  <si>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</si>
  <si>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</si>
  <si>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</si>
  <si>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</si>
  <si>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</si>
  <si>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</si>
  <si>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</si>
  <si>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</si>
  <si>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</si>
  <si>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</si>
  <si>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</si>
  <si>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</si>
  <si>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</si>
  <si>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</si>
  <si>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</si>
  <si>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</si>
  <si>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</si>
  <si>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</si>
  <si>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</si>
  <si>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</si>
  <si>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</si>
  <si>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</si>
  <si>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</si>
  <si>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</si>
  <si>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</si>
  <si>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</si>
  <si>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</si>
  <si>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</si>
  <si>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</si>
  <si>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</si>
  <si>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</si>
  <si>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</si>
  <si>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</si>
  <si>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</si>
  <si>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</si>
  <si>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</si>
  <si>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</si>
  <si>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</si>
  <si>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</si>
  <si>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</si>
  <si>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</si>
  <si>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</si>
  <si>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</si>
  <si>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</si>
  <si>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</si>
  <si>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</si>
  <si>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</si>
  <si>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</si>
  <si>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</si>
  <si>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</si>
  <si>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</si>
  <si>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</si>
  <si>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</si>
  <si>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</si>
  <si>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</si>
  <si>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</si>
  <si>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</si>
  <si>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</si>
  <si>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</si>
  <si>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</si>
  <si>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</si>
  <si>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</si>
  <si>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</si>
  <si>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</si>
  <si>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</si>
  <si>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</si>
  <si>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</si>
  <si>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</si>
  <si>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</si>
  <si>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</si>
  <si>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</si>
  <si>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</si>
  <si>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</si>
  <si>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</si>
  <si>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</si>
  <si>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</si>
  <si>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</si>
  <si>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</si>
  <si>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</si>
  <si>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</si>
  <si>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</si>
  <si>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</si>
  <si>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</si>
  <si>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</si>
  <si>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</si>
  <si>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</si>
  <si>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</si>
  <si>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</si>
  <si>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</si>
  <si>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</si>
  <si>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</si>
  <si>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</si>
  <si>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</si>
  <si>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</si>
  <si>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</si>
  <si>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</si>
  <si>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</si>
  <si>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</si>
  <si>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</si>
  <si>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</si>
  <si>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</si>
  <si>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</si>
  <si>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</si>
  <si>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</si>
  <si>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</si>
  <si>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</si>
  <si>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</si>
  <si>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</si>
  <si>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</si>
  <si>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</si>
  <si>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</si>
  <si>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</si>
  <si>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</si>
  <si>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</si>
  <si>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</si>
  <si>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</si>
  <si>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</si>
  <si>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</si>
  <si>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</si>
  <si>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</si>
  <si>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</si>
  <si>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</si>
  <si>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</si>
  <si>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</si>
  <si>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</si>
  <si>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</si>
  <si>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</si>
  <si>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</si>
  <si>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</si>
  <si>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</si>
  <si>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</si>
  <si>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</si>
  <si>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</si>
  <si>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</si>
  <si>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</si>
  <si>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</si>
  <si>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</si>
  <si>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</si>
  <si>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</si>
  <si>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</si>
  <si>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</si>
  <si>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</si>
  <si>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</si>
  <si>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</si>
  <si>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</si>
  <si>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</si>
  <si>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</si>
  <si>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</si>
  <si>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</si>
  <si>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</si>
  <si>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</si>
  <si>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</si>
  <si>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</si>
  <si>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</si>
  <si>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</si>
  <si>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</si>
  <si>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</si>
  <si>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</si>
  <si>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</si>
  <si>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</si>
  <si>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</si>
  <si>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</si>
  <si>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</si>
  <si>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</si>
  <si>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</si>
  <si>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</si>
  <si>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</si>
  <si>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</si>
  <si>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</si>
  <si>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</si>
  <si>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</si>
  <si>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</si>
  <si>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</si>
  <si>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</si>
  <si>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</si>
  <si>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</si>
  <si>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</si>
  <si>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</si>
  <si>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</si>
  <si>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</si>
  <si>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</si>
  <si>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</si>
  <si>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</si>
  <si>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</si>
  <si>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</si>
  <si>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</si>
  <si>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</si>
  <si>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</si>
  <si>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</si>
  <si>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</si>
  <si>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</si>
  <si>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</si>
  <si>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</si>
  <si>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</si>
  <si>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</si>
  <si>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</si>
  <si>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</si>
  <si>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</si>
  <si>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</si>
  <si>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</si>
  <si>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</si>
  <si>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</si>
  <si>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</si>
  <si>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</si>
  <si>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</si>
  <si>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</si>
  <si>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</si>
  <si>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</si>
  <si>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</si>
  <si>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</si>
  <si>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</si>
  <si>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</si>
  <si>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</si>
  <si>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</si>
  <si>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</si>
  <si>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</si>
  <si>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</si>
  <si>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</si>
  <si>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</si>
  <si>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</si>
  <si>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</si>
  <si>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</si>
  <si>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</si>
  <si>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</si>
  <si>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</si>
  <si>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</si>
  <si>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</si>
  <si>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</si>
  <si>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</si>
  <si>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</si>
  <si>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</si>
  <si>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</si>
  <si>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</si>
  <si>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</si>
  <si>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</si>
  <si>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</si>
  <si>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</si>
  <si>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</si>
  <si>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</si>
  <si>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</si>
  <si>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</si>
  <si>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</si>
  <si>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</si>
  <si>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</si>
  <si>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</si>
  <si>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</si>
  <si>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</si>
  <si>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</si>
  <si>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</si>
  <si>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</si>
  <si>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</si>
  <si>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</si>
  <si>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</si>
  <si>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</si>
  <si>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</si>
  <si>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</si>
  <si>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</si>
  <si>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</si>
  <si>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</si>
  <si>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</si>
  <si>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</si>
  <si>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</si>
  <si>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</si>
  <si>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</si>
  <si>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</si>
  <si>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</si>
  <si>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</si>
  <si>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</si>
  <si>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</si>
  <si>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</si>
  <si>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</si>
  <si>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</si>
  <si>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</si>
  <si>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</si>
  <si>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</si>
  <si>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</si>
  <si>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</si>
  <si>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</si>
  <si>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</si>
  <si>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</si>
  <si>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</si>
  <si>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</si>
  <si>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</si>
  <si>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</si>
  <si>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</si>
  <si>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</si>
  <si>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</si>
  <si>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</si>
  <si>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</si>
  <si>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</si>
  <si>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</si>
  <si>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</si>
  <si>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</si>
  <si>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</si>
  <si>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</si>
  <si>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</si>
  <si>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</si>
  <si>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</si>
  <si>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</si>
  <si>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</si>
  <si>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</si>
  <si>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</si>
  <si>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</si>
  <si>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</si>
  <si>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</si>
  <si>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</si>
  <si>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</si>
  <si>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</si>
  <si>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</si>
  <si>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</si>
  <si>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</si>
  <si>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</si>
  <si>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</si>
  <si>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</si>
  <si>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</si>
  <si>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</si>
  <si>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</si>
  <si>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</si>
  <si>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</si>
  <si>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</si>
  <si>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</si>
  <si>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</si>
  <si>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</si>
  <si>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</si>
  <si>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</si>
  <si>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</si>
  <si>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</si>
  <si>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</si>
  <si>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</si>
  <si>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</si>
  <si>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</si>
  <si>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</si>
  <si>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</si>
  <si>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</si>
  <si>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</si>
  <si>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</si>
  <si>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</si>
  <si>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</si>
  <si>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</si>
  <si>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</si>
  <si>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</si>
  <si>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</si>
  <si>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</si>
  <si>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</si>
  <si>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</si>
  <si>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</si>
  <si>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</si>
  <si>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</si>
  <si>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</si>
  <si>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</si>
  <si>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</si>
  <si>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</si>
  <si>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</si>
  <si>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</si>
  <si>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</si>
  <si>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</si>
  <si>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</si>
  <si>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</si>
  <si>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</si>
  <si>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</si>
  <si>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</si>
  <si>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</si>
  <si>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</si>
  <si>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</si>
  <si>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</si>
  <si>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</si>
  <si>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</si>
  <si>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</si>
  <si>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</si>
  <si>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</si>
  <si>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</si>
  <si>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</si>
  <si>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</si>
  <si>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</si>
  <si>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</si>
  <si>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</si>
  <si>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</si>
  <si>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</si>
  <si>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</si>
  <si>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</si>
  <si>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</si>
  <si>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</si>
  <si>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</si>
  <si>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</si>
  <si>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</si>
  <si>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</si>
  <si>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</si>
  <si>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</si>
  <si>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</si>
  <si>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</si>
  <si>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</si>
  <si>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</si>
  <si>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</si>
  <si>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</si>
  <si>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</si>
  <si>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</si>
  <si>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</si>
  <si>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</si>
  <si>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</si>
  <si>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</si>
  <si>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</si>
  <si>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</si>
  <si>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</si>
  <si>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</si>
  <si>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</si>
  <si>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</si>
  <si>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</si>
  <si>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</si>
  <si>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</si>
  <si>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</si>
  <si>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</si>
  <si>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</si>
  <si>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</si>
  <si>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</si>
  <si>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</si>
  <si>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</si>
  <si>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</si>
  <si>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</si>
  <si>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</si>
  <si>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</si>
  <si>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</si>
  <si>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</si>
  <si>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</si>
  <si>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</si>
  <si>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</si>
  <si>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</si>
  <si>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</si>
  <si>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</si>
  <si>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</si>
  <si>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</si>
  <si>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</si>
  <si>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</si>
  <si>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</si>
  <si>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</si>
  <si>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</si>
  <si>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</si>
  <si>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</si>
  <si>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</si>
  <si>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</si>
  <si>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</si>
  <si>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</si>
  <si>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</si>
  <si>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</si>
  <si>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</si>
  <si>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</si>
  <si>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</si>
  <si>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</si>
  <si>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</si>
  <si>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</si>
  <si>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</si>
  <si>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</si>
  <si>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</si>
  <si>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</si>
  <si>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</si>
  <si>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</si>
  <si>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</si>
  <si>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</si>
  <si>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</si>
  <si>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</si>
  <si>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</si>
  <si>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</si>
  <si>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</si>
  <si>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</si>
  <si>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</si>
  <si>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</si>
  <si>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</si>
  <si>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</si>
  <si>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</si>
  <si>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</si>
  <si>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</si>
  <si>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</si>
  <si>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</si>
  <si>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</si>
  <si>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</si>
  <si>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</si>
  <si>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</si>
  <si>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</si>
  <si>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</si>
  <si>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</si>
  <si>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</si>
  <si>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</si>
  <si>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</si>
  <si>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</si>
  <si>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</si>
  <si>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</si>
  <si>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</si>
  <si>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</si>
  <si>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</si>
  <si>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</si>
  <si>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</si>
  <si>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</si>
  <si>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</si>
  <si>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</si>
  <si>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</si>
  <si>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</si>
  <si>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</si>
  <si>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</si>
  <si>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</si>
  <si>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</si>
  <si>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</si>
  <si>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</si>
  <si>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</si>
  <si>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</si>
  <si>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</si>
  <si>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</si>
  <si>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</si>
  <si>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</si>
  <si>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</si>
  <si>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</si>
  <si>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</si>
  <si>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</si>
  <si>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</si>
  <si>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</si>
  <si>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</si>
  <si>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</si>
  <si>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</si>
  <si>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</si>
  <si>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</si>
  <si>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</si>
  <si>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</si>
  <si>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</si>
  <si>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</si>
  <si>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</si>
  <si>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</si>
  <si>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</si>
  <si>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</si>
  <si>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</si>
  <si>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</si>
  <si>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</si>
  <si>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</si>
  <si>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</si>
  <si>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</si>
  <si>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</si>
  <si>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</si>
  <si>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</si>
  <si>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</si>
  <si>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</si>
  <si>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</si>
  <si>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</si>
  <si>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</si>
  <si>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</si>
  <si>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</si>
  <si>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</si>
  <si>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</si>
  <si>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</si>
  <si>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</si>
  <si>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</si>
  <si>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</si>
  <si>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</si>
  <si>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</si>
  <si>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</si>
  <si>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</si>
  <si>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</si>
  <si>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</si>
  <si>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</si>
  <si>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</si>
  <si>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</si>
  <si>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</si>
  <si>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</si>
  <si>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</si>
  <si>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</si>
  <si>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</si>
  <si>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</si>
  <si>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</si>
  <si>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</si>
  <si>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</si>
  <si>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</si>
  <si>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</si>
  <si>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</si>
  <si>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</si>
  <si>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</si>
  <si>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</si>
  <si>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</si>
  <si>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</si>
  <si>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</si>
  <si>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</si>
  <si>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</si>
  <si>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</si>
  <si>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</si>
  <si>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</si>
  <si>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</si>
  <si>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</si>
  <si>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</si>
  <si>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</si>
  <si>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</si>
  <si>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</si>
  <si>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</si>
  <si>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</si>
  <si>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</si>
  <si>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</si>
  <si>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</si>
  <si>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</si>
  <si>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</si>
  <si>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</si>
  <si>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</si>
  <si>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</si>
  <si>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</si>
  <si>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</si>
  <si>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</si>
  <si>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</si>
  <si>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</si>
  <si>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</si>
  <si>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</si>
  <si>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</si>
  <si>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</si>
  <si>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</si>
  <si>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</si>
  <si>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</si>
  <si>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</si>
  <si>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</si>
  <si>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</si>
  <si>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</si>
  <si>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</si>
  <si>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</si>
  <si>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</si>
  <si>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</si>
  <si>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</si>
  <si>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</si>
  <si>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</si>
  <si>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</si>
  <si>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</si>
  <si>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</si>
  <si>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</si>
  <si>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</si>
  <si>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</si>
  <si>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</si>
  <si>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</si>
  <si>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</si>
  <si>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</si>
  <si>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</si>
  <si>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</si>
  <si>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</si>
  <si>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</si>
  <si>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</si>
  <si>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</si>
  <si>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</si>
  <si>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</si>
  <si>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</si>
  <si>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</si>
  <si>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</si>
  <si>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</si>
  <si>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</si>
  <si>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</si>
  <si>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</si>
  <si>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</si>
  <si>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</si>
  <si>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</si>
  <si>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</si>
  <si>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</si>
  <si>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</si>
  <si>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</si>
  <si>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</si>
  <si>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</si>
  <si>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</si>
  <si>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</si>
  <si>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</si>
  <si>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</si>
  <si>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</si>
  <si>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</si>
  <si>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</si>
  <si>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</si>
  <si>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</si>
  <si>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</si>
  <si>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</si>
  <si>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</si>
  <si>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</si>
  <si>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</si>
  <si>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</si>
  <si>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</si>
  <si>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</si>
  <si>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</si>
  <si>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</si>
  <si>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</si>
  <si>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</si>
  <si>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</si>
  <si>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</si>
  <si>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</si>
  <si>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</si>
  <si>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</si>
  <si>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</si>
  <si>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</si>
  <si>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</si>
  <si>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</si>
  <si>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</si>
  <si>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</si>
  <si>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</si>
  <si>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</si>
  <si>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</si>
  <si>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</si>
  <si>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</si>
  <si>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</si>
  <si>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</si>
  <si>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</si>
  <si>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</si>
  <si>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</si>
  <si>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</si>
  <si>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</si>
  <si>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</si>
  <si>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</si>
  <si>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</si>
  <si>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</si>
  <si>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</si>
  <si>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</si>
  <si>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</si>
  <si>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</si>
  <si>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</si>
  <si>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</si>
  <si>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</si>
  <si>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</si>
  <si>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</si>
  <si>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</si>
  <si>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</si>
  <si>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</si>
  <si>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</si>
  <si>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</si>
  <si>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</si>
  <si>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</si>
  <si>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</si>
  <si>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</si>
  <si>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</si>
  <si>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</si>
  <si>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</si>
  <si>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</si>
  <si>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</si>
  <si>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</si>
  <si>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</si>
  <si>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</si>
  <si>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</si>
  <si>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</si>
  <si>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</si>
  <si>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</si>
  <si>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</si>
  <si>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</si>
  <si>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</si>
  <si>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</si>
  <si>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</si>
  <si>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</si>
  <si>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</si>
  <si>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</si>
  <si>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</si>
  <si>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</si>
  <si>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</si>
  <si>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</si>
  <si>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</si>
  <si>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</si>
  <si>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</si>
  <si>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</si>
  <si>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</si>
  <si>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</si>
  <si>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</si>
  <si>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</si>
  <si>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</si>
  <si>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</si>
  <si>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</si>
  <si>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</si>
  <si>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</si>
  <si>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</si>
  <si>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</si>
  <si>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</si>
  <si>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</si>
  <si>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</si>
  <si>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</si>
  <si>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</si>
  <si>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</si>
  <si>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</si>
  <si>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</si>
  <si>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</si>
  <si>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</si>
  <si>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</si>
  <si>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</si>
  <si>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</si>
  <si>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</si>
  <si>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</si>
  <si>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</si>
  <si>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</si>
  <si>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</si>
  <si>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</si>
  <si>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</si>
  <si>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</si>
  <si>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</si>
  <si>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</si>
  <si>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</si>
  <si>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</si>
  <si>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</si>
  <si>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</si>
  <si>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</si>
  <si>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</si>
  <si>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</si>
  <si>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</si>
  <si>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</si>
  <si>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</si>
  <si>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</si>
  <si>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</si>
  <si>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</si>
  <si>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</si>
  <si>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</si>
  <si>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</si>
  <si>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</si>
  <si>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</si>
  <si>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</si>
  <si>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</si>
  <si>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</si>
  <si>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</si>
  <si>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</si>
  <si>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</si>
  <si>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</si>
  <si>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</si>
  <si>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</si>
  <si>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</si>
  <si>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</si>
  <si>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</si>
  <si>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</si>
  <si>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</si>
  <si>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</si>
  <si>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</si>
  <si>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</si>
  <si>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</si>
  <si>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</si>
  <si>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</si>
  <si>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</si>
  <si>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</si>
  <si>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</si>
  <si>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</si>
  <si>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</si>
  <si>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</si>
  <si>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</si>
  <si>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</si>
  <si>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</si>
  <si>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</si>
  <si>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</si>
  <si>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</si>
  <si>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</si>
  <si>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</si>
  <si>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</si>
  <si>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</si>
  <si>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</si>
  <si>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</si>
  <si>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</si>
  <si>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</si>
  <si>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</si>
  <si>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</si>
  <si>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</si>
  <si>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</si>
  <si>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</si>
  <si>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</si>
  <si>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</si>
  <si>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</si>
  <si>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</si>
  <si>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</si>
  <si>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</si>
  <si>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</si>
  <si>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</si>
  <si>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</si>
  <si>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</si>
  <si>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</si>
  <si>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</si>
  <si>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</si>
  <si>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</si>
  <si>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</si>
  <si>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</si>
  <si>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</si>
  <si>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</si>
  <si>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</si>
  <si>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</si>
  <si>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</si>
  <si>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</si>
  <si>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</si>
  <si>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</si>
  <si>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</si>
  <si>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</si>
  <si>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</si>
  <si>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</si>
  <si>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</si>
  <si>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</si>
  <si>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</si>
  <si>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</si>
  <si>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</si>
  <si>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</si>
  <si>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</si>
  <si>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</si>
  <si>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</si>
  <si>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</si>
  <si>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</si>
  <si>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</si>
  <si>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</si>
  <si>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</si>
  <si>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</si>
  <si>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</si>
  <si>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</si>
  <si>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</si>
  <si>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</si>
  <si>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</si>
  <si>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</si>
  <si>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</si>
  <si>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</si>
  <si>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</si>
  <si>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</si>
  <si>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</si>
  <si>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</si>
  <si>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</si>
  <si>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</si>
  <si>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</si>
  <si>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</si>
  <si>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</si>
  <si>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</si>
  <si>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</si>
  <si>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</si>
  <si>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</si>
  <si>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</si>
  <si>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</si>
  <si>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</si>
  <si>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</si>
  <si>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</si>
  <si>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</si>
  <si>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</si>
  <si>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</si>
  <si>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</si>
  <si>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</si>
  <si>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</si>
  <si>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</si>
  <si>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</si>
  <si>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</si>
  <si>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</si>
  <si>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</si>
  <si>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</si>
  <si>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</si>
  <si>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</si>
  <si>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</si>
  <si>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</si>
  <si>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</si>
  <si>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</si>
  <si>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</si>
  <si>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</si>
  <si>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</si>
  <si>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</si>
  <si>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</si>
  <si>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</si>
  <si>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</si>
  <si>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</si>
  <si>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</si>
  <si>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</si>
  <si>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</si>
  <si>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</si>
  <si>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</si>
  <si>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</si>
  <si>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</si>
  <si>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</si>
  <si>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</si>
  <si>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</si>
  <si>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</si>
  <si>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</si>
  <si>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</si>
  <si>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</si>
  <si>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</si>
  <si>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</si>
  <si>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</si>
  <si>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</si>
  <si>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</si>
  <si>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</si>
  <si>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</si>
  <si>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</si>
  <si>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</si>
  <si>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</si>
  <si>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</si>
  <si>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</si>
  <si>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</si>
  <si>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</si>
  <si>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</si>
  <si>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</si>
  <si>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</si>
  <si>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</si>
  <si>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</si>
  <si>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</si>
  <si>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</si>
  <si>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</si>
  <si>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</si>
  <si>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</si>
  <si>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</si>
  <si>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</si>
  <si>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</si>
  <si>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</si>
  <si>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</si>
  <si>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</si>
  <si>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</si>
  <si>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</si>
  <si>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</si>
  <si>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</si>
  <si>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</si>
  <si>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</si>
  <si>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</si>
  <si>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</si>
  <si>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</si>
  <si>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</si>
  <si>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</si>
  <si>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</si>
  <si>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</si>
  <si>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</si>
  <si>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</si>
  <si>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</si>
  <si>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</si>
  <si>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</si>
  <si>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</si>
  <si>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</si>
  <si>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</si>
  <si>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</si>
  <si>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</si>
  <si>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</si>
  <si>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</si>
  <si>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</si>
  <si>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</si>
  <si>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</si>
  <si>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</si>
  <si>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</si>
  <si>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</si>
  <si>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</si>
  <si>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</si>
  <si>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</si>
  <si>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</si>
  <si>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</si>
  <si>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</si>
  <si>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</si>
  <si>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</si>
  <si>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</si>
  <si>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</si>
  <si>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</si>
  <si>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</si>
  <si>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</si>
  <si>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</si>
  <si>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</si>
  <si>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</si>
  <si>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</si>
  <si>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</si>
  <si>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</si>
  <si>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</si>
  <si>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</si>
  <si>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</si>
  <si>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</si>
  <si>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</si>
  <si>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</si>
  <si>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</si>
  <si>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</si>
  <si>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</si>
  <si>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</si>
  <si>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</si>
  <si>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</si>
  <si>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</si>
  <si>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</si>
  <si>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</si>
  <si>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</si>
  <si>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</si>
  <si>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</si>
  <si>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</si>
  <si>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</si>
  <si>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</si>
  <si>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</si>
  <si>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</si>
  <si>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</si>
  <si>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</si>
  <si>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</si>
  <si>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</si>
  <si>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</si>
  <si>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</si>
  <si>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</si>
  <si>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</si>
  <si>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</si>
  <si>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</si>
  <si>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</si>
  <si>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</si>
  <si>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</si>
  <si>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</si>
  <si>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</si>
  <si>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</si>
  <si>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</si>
  <si>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</si>
  <si>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</si>
  <si>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</si>
  <si>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</si>
  <si>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</si>
  <si>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</si>
  <si>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</si>
  <si>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</si>
  <si>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</si>
  <si>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</si>
  <si>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</si>
  <si>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</si>
  <si>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</si>
  <si>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</si>
  <si>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</si>
  <si>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</si>
  <si>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</si>
  <si>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</si>
  <si>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</si>
  <si>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</si>
  <si>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</si>
  <si>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</si>
  <si>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</si>
  <si>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</si>
  <si>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</si>
  <si>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</si>
  <si>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</si>
  <si>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</si>
  <si>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</si>
  <si>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</si>
  <si>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</si>
  <si>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</si>
  <si>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</si>
  <si>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</si>
  <si>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</si>
  <si>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</si>
  <si>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</si>
  <si>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</si>
  <si>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</si>
  <si>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</si>
  <si>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</si>
  <si>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</si>
  <si>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</si>
  <si>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</si>
  <si>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</si>
  <si>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</si>
  <si>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</si>
  <si>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</si>
  <si>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</si>
  <si>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</si>
  <si>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</si>
  <si>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</si>
  <si>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</si>
  <si>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</si>
  <si>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</si>
  <si>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</si>
  <si>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</si>
  <si>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</si>
  <si>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</si>
  <si>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</si>
  <si>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</si>
  <si>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</si>
  <si>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</si>
  <si>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</si>
  <si>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</si>
  <si>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</si>
  <si>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</si>
  <si>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</si>
  <si>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</si>
  <si>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</si>
  <si>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</si>
  <si>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</si>
  <si>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</si>
  <si>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</si>
  <si>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</si>
  <si>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</si>
  <si>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</si>
  <si>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</si>
  <si>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</si>
  <si>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</si>
  <si>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</si>
  <si>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</si>
  <si>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</si>
  <si>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</si>
  <si>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</si>
  <si>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</si>
  <si>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</si>
  <si>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</si>
  <si>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</si>
  <si>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</si>
  <si>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</si>
  <si>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</si>
  <si>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</si>
  <si>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</si>
  <si>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</si>
  <si>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</si>
  <si>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</si>
  <si>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</si>
  <si>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</si>
  <si>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</si>
  <si>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</si>
  <si>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</si>
  <si>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</si>
  <si>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</si>
  <si>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</si>
  <si>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</si>
  <si>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</si>
  <si>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</si>
  <si>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</si>
  <si>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</si>
  <si>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</si>
  <si>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</si>
  <si>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</si>
  <si>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</si>
  <si>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</si>
  <si>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</si>
  <si>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</si>
  <si>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</si>
  <si>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</si>
  <si>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</si>
  <si>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</si>
  <si>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</si>
  <si>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</si>
  <si>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</si>
  <si>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</si>
  <si>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</si>
  <si>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</si>
  <si>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</si>
  <si>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</si>
  <si>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</si>
  <si>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</si>
  <si>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</si>
  <si>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</si>
  <si>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</si>
  <si>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</si>
  <si>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</si>
  <si>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</si>
  <si>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</si>
  <si>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</si>
  <si>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</si>
  <si>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</si>
  <si>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</si>
  <si>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</si>
  <si>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</si>
  <si>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</si>
  <si>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</si>
  <si>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</si>
  <si>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</si>
  <si>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</si>
  <si>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</si>
  <si>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</si>
  <si>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</si>
  <si>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</si>
  <si>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</si>
  <si>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</si>
  <si>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</si>
  <si>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</si>
  <si>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</si>
  <si>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</si>
  <si>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</si>
  <si>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</si>
  <si>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</si>
  <si>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</si>
  <si>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</si>
  <si>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</si>
  <si>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</si>
  <si>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</si>
  <si>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</si>
  <si>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</si>
  <si>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</si>
  <si>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</si>
  <si>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</si>
  <si>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</si>
  <si>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</si>
  <si>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</si>
  <si>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</si>
  <si>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</si>
  <si>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</si>
  <si>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</si>
  <si>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</si>
  <si>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</si>
  <si>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</si>
  <si>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</si>
  <si>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</si>
  <si>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</si>
  <si>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</si>
  <si>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</si>
  <si>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</si>
  <si>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</si>
  <si>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</si>
  <si>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</si>
  <si>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</si>
  <si>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</si>
  <si>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</si>
  <si>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</si>
  <si>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</si>
  <si>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</si>
  <si>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</si>
  <si>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</si>
  <si>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</si>
  <si>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</si>
  <si>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</si>
  <si>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</si>
  <si>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</si>
  <si>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</si>
  <si>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</si>
  <si>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</si>
  <si>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</si>
  <si>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</si>
  <si>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</si>
  <si>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</si>
  <si>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</si>
  <si>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</si>
  <si>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</si>
  <si>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</si>
  <si>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</si>
  <si>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</si>
  <si>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</si>
  <si>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</si>
  <si>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</si>
  <si>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</si>
  <si>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</si>
  <si>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</si>
  <si>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</si>
  <si>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</si>
  <si>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</si>
  <si>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</si>
  <si>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</si>
  <si>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</si>
  <si>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</si>
  <si>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</si>
  <si>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</si>
  <si>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</si>
  <si>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</si>
  <si>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</si>
  <si>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</si>
  <si>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</si>
  <si>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</si>
  <si>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</si>
  <si>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</si>
  <si>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</si>
  <si>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</si>
  <si>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</si>
  <si>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</si>
  <si>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</si>
  <si>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</si>
  <si>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</si>
  <si>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</si>
  <si>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</si>
  <si>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</si>
  <si>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</si>
  <si>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</si>
  <si>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</si>
  <si>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</si>
  <si>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</si>
  <si>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</si>
  <si>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</si>
  <si>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</si>
  <si>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</si>
  <si>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</si>
  <si>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</si>
  <si>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</si>
  <si>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</si>
  <si>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</si>
  <si>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</si>
  <si>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</si>
  <si>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</si>
  <si>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</si>
  <si>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</si>
  <si>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</si>
  <si>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</si>
  <si>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</si>
  <si>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</si>
  <si>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</si>
  <si>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</si>
  <si>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</si>
  <si>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</si>
  <si>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</si>
  <si>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</si>
  <si>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</si>
  <si>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</si>
  <si>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</si>
  <si>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</si>
  <si>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</si>
  <si>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</si>
  <si>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</si>
  <si>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</si>
  <si>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</si>
  <si>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</si>
  <si>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</si>
  <si>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</si>
  <si>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</si>
  <si>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</si>
  <si>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</si>
  <si>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</si>
  <si>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</si>
  <si>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</si>
  <si>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</si>
  <si>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</si>
  <si>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</si>
  <si>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</si>
  <si>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</si>
  <si>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</si>
  <si>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</si>
  <si>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</si>
  <si>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</si>
  <si>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</si>
  <si>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</si>
  <si>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</si>
  <si>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</si>
  <si>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</si>
  <si>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</si>
  <si>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</si>
  <si>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</si>
  <si>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</si>
  <si>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</si>
  <si>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</si>
  <si>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</si>
  <si>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</si>
  <si>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</si>
  <si>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</si>
  <si>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</si>
  <si>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</si>
  <si>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</si>
  <si>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</si>
  <si>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</si>
  <si>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</si>
  <si>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</si>
  <si>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</si>
  <si>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</si>
  <si>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</si>
  <si>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</si>
  <si>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</si>
  <si>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</si>
  <si>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</si>
  <si>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</si>
  <si>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</si>
  <si>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</si>
  <si>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</si>
  <si>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</si>
  <si>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</si>
  <si>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</si>
  <si>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</si>
  <si>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</si>
  <si>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</si>
  <si>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</si>
  <si>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</si>
  <si>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</si>
  <si>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</si>
  <si>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</si>
  <si>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</si>
  <si>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</si>
  <si>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</si>
  <si>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</si>
  <si>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</si>
  <si>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</si>
  <si>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</si>
  <si>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</si>
  <si>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</si>
  <si>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</si>
  <si>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</si>
  <si>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</si>
  <si>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</si>
  <si>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</si>
  <si>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</si>
  <si>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</si>
  <si>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</si>
  <si>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</si>
  <si>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</si>
  <si>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</si>
  <si>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</si>
  <si>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</si>
  <si>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</si>
  <si>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</si>
  <si>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</si>
  <si>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</si>
  <si>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</si>
  <si>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</si>
  <si>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</si>
  <si>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</si>
  <si>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</si>
  <si>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</si>
  <si>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</si>
  <si>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</si>
  <si>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</si>
  <si>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</si>
  <si>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</si>
  <si>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</si>
  <si>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</si>
  <si>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</si>
  <si>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</si>
  <si>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</si>
  <si>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</si>
  <si>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</si>
  <si>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</si>
  <si>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</si>
  <si>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</si>
  <si>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</si>
  <si>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</si>
  <si>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</si>
  <si>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</si>
  <si>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</si>
  <si>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</si>
  <si>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</si>
  <si>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</si>
  <si>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</si>
  <si>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</si>
  <si>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</si>
  <si>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</si>
  <si>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</si>
  <si>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</si>
  <si>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</si>
  <si>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</si>
  <si>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</si>
  <si>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</si>
  <si>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</si>
  <si>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</si>
  <si>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</si>
  <si>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</si>
  <si>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</si>
  <si>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</si>
  <si>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</si>
  <si>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</si>
  <si>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</si>
  <si>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</si>
  <si>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</si>
  <si>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</si>
  <si>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</si>
  <si>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</si>
  <si>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</si>
  <si>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</si>
  <si>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</si>
  <si>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</si>
  <si>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</si>
  <si>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</si>
  <si>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</si>
  <si>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</si>
  <si>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</si>
  <si>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</si>
  <si>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</si>
  <si>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</si>
  <si>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</si>
  <si>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</si>
  <si>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</si>
  <si>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</si>
  <si>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</si>
  <si>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</si>
  <si>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</si>
  <si>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</si>
  <si>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</si>
  <si>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</si>
  <si>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</si>
  <si>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</si>
  <si>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</si>
  <si>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</si>
  <si>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</si>
  <si>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</si>
  <si>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</si>
  <si>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</si>
  <si>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</si>
  <si>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</si>
  <si>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</si>
  <si>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</si>
  <si>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</si>
  <si>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</si>
  <si>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</si>
  <si>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</si>
  <si>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</si>
  <si>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</si>
  <si>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</si>
  <si>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</si>
  <si>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</si>
  <si>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</si>
  <si>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</si>
  <si>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</si>
  <si>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</si>
  <si>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</si>
  <si>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</si>
  <si>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</si>
  <si>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</si>
  <si>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</si>
  <si>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</si>
  <si>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</si>
  <si>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</si>
  <si>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</si>
  <si>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</si>
  <si>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</si>
  <si>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</si>
  <si>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</si>
  <si>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</si>
  <si>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</si>
  <si>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</si>
  <si>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</si>
  <si>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</si>
  <si>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</si>
  <si>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</si>
  <si>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</si>
  <si>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</si>
  <si>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</si>
  <si>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</si>
  <si>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</si>
  <si>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</si>
  <si>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</si>
  <si>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</si>
  <si>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</si>
  <si>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</si>
  <si>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</si>
  <si>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</si>
  <si>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</si>
  <si>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</si>
  <si>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</si>
  <si>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</si>
  <si>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</si>
  <si>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</si>
  <si>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</si>
  <si>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</si>
  <si>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</si>
  <si>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</si>
  <si>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</si>
  <si>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</si>
  <si>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</si>
  <si>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</si>
  <si>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</si>
  <si>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</si>
  <si>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</si>
  <si>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</si>
  <si>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</si>
  <si>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</si>
  <si>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</si>
  <si>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</si>
  <si>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</si>
  <si>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</si>
  <si>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</si>
  <si>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</si>
  <si>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</si>
  <si>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</si>
  <si>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</si>
  <si>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</si>
  <si>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</si>
  <si>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</si>
  <si>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</si>
  <si>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</si>
  <si>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</si>
  <si>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</si>
  <si>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</si>
  <si>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</si>
  <si>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</si>
  <si>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</si>
  <si>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</si>
  <si>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</si>
  <si>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</si>
  <si>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</si>
  <si>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</si>
  <si>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</si>
  <si>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</si>
  <si>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</si>
  <si>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</si>
  <si>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</si>
  <si>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</si>
  <si>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</si>
  <si>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</si>
  <si>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</si>
  <si>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</si>
  <si>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</si>
  <si>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</si>
  <si>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</si>
  <si>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</si>
  <si>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</si>
  <si>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</si>
  <si>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</si>
  <si>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</si>
  <si>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</si>
  <si>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</si>
  <si>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</si>
  <si>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</si>
  <si>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</si>
  <si>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</si>
  <si>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</si>
  <si>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</si>
  <si>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</si>
  <si>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</si>
  <si>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</si>
  <si>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</si>
  <si>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</si>
  <si>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</si>
  <si>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</si>
  <si>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</si>
  <si>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</si>
  <si>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</si>
  <si>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</si>
  <si>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</si>
  <si>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</si>
  <si>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</si>
  <si>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</si>
  <si>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</si>
  <si>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</si>
  <si>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</si>
  <si>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</si>
  <si>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</si>
  <si>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</si>
  <si>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</si>
  <si>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</si>
  <si>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</si>
  <si>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</si>
  <si>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</si>
  <si>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</si>
  <si>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</si>
  <si>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</si>
  <si>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</si>
  <si>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</si>
  <si>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</si>
  <si>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</si>
  <si>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</si>
  <si>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</si>
  <si>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</si>
  <si>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</si>
  <si>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</si>
  <si>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</si>
  <si>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</si>
  <si>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</si>
  <si>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</si>
  <si>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</si>
  <si>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</si>
  <si>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</si>
  <si>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</si>
  <si>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</si>
  <si>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</si>
  <si>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</si>
  <si>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</si>
  <si>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</si>
  <si>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</si>
  <si>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</si>
  <si>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</si>
  <si>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</si>
  <si>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</si>
  <si>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</si>
  <si>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</si>
  <si>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</si>
  <si>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</si>
  <si>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</si>
  <si>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</si>
  <si>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</si>
  <si>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</si>
  <si>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</si>
  <si>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</si>
  <si>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</si>
  <si>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</si>
  <si>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</si>
  <si>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</si>
  <si>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</si>
  <si>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</si>
  <si>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</si>
  <si>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</si>
  <si>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</si>
  <si>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</si>
  <si>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</si>
  <si>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</si>
  <si>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</si>
  <si>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</si>
  <si>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</si>
  <si>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</si>
  <si>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</si>
  <si>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</si>
  <si>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</si>
  <si>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</si>
  <si>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</si>
  <si>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</si>
  <si>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</si>
  <si>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</si>
  <si>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</si>
  <si>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</si>
  <si>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</si>
  <si>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</si>
  <si>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</si>
  <si>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</si>
  <si>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</si>
  <si>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</si>
  <si>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</si>
  <si>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</si>
  <si>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</si>
  <si>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</si>
  <si>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</si>
  <si>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</si>
  <si>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</si>
  <si>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</si>
  <si>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</si>
  <si>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</si>
  <si>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</si>
  <si>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</si>
  <si>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</si>
  <si>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</si>
  <si>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</si>
  <si>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</si>
  <si>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</si>
  <si>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</si>
  <si>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</si>
  <si>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</si>
  <si>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</si>
  <si>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</si>
  <si>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</si>
  <si>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</si>
  <si>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</si>
  <si>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</si>
  <si>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</si>
  <si>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</si>
  <si>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</si>
  <si>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</si>
  <si>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</si>
  <si>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</si>
  <si>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</si>
  <si>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</si>
  <si>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</si>
  <si>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</si>
  <si>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</si>
  <si>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</si>
  <si>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</si>
  <si>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</si>
  <si>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</si>
  <si>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</si>
  <si>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</si>
  <si>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</si>
  <si>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</si>
  <si>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</si>
  <si>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</si>
  <si>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</si>
  <si>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</si>
  <si>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</si>
  <si>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</si>
  <si>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</si>
  <si>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</si>
  <si>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</si>
  <si>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</si>
  <si>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</si>
  <si>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</si>
  <si>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</si>
  <si>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</si>
  <si>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</si>
  <si>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</si>
  <si>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</si>
  <si>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</si>
  <si>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</si>
  <si>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</si>
  <si>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</si>
  <si>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</si>
  <si>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</si>
  <si>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</si>
  <si>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</si>
  <si>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</si>
  <si>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</si>
  <si>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</si>
  <si>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</si>
  <si>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</si>
  <si>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</si>
  <si>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</si>
  <si>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</si>
  <si>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</si>
  <si>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</si>
  <si>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</si>
  <si>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</si>
  <si>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</si>
  <si>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</si>
  <si>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</si>
  <si>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</si>
  <si>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</si>
  <si>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</si>
  <si>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</si>
  <si>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</si>
  <si>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</si>
  <si>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</si>
  <si>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</si>
  <si>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</si>
  <si>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</si>
  <si>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</si>
  <si>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</si>
  <si>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</si>
  <si>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</si>
  <si>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</si>
  <si>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</si>
  <si>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</si>
  <si>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</si>
  <si>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</si>
  <si>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</si>
  <si>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</si>
  <si>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</si>
  <si>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</si>
  <si>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</si>
  <si>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</si>
  <si>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</si>
  <si>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</si>
  <si>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</si>
  <si>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</si>
  <si>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</si>
  <si>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</si>
  <si>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</si>
  <si>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</si>
  <si>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</si>
  <si>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</si>
  <si>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</si>
  <si>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</si>
  <si>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</si>
  <si>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</si>
  <si>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</si>
  <si>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</si>
  <si>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</si>
  <si>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</si>
  <si>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</si>
  <si>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</si>
  <si>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</si>
  <si>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</si>
  <si>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</si>
  <si>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</si>
  <si>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</si>
  <si>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</si>
  <si>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</si>
  <si>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</si>
  <si>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</si>
  <si>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</si>
  <si>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</si>
  <si>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</si>
  <si>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</si>
  <si>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</si>
  <si>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</si>
  <si>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</si>
  <si>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</si>
  <si>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</si>
  <si>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</si>
  <si>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</si>
  <si>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</si>
  <si>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</si>
  <si>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</si>
  <si>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</si>
  <si>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</si>
  <si>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</si>
  <si>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</si>
  <si>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</si>
  <si>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</si>
  <si>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</si>
  <si>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</si>
  <si>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</si>
  <si>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</si>
  <si>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</si>
  <si>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</si>
  <si>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</si>
  <si>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</si>
  <si>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</si>
  <si>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</si>
  <si>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</si>
  <si>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</si>
  <si>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</si>
  <si>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</si>
  <si>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</si>
  <si>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</si>
  <si>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</si>
  <si>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</si>
  <si>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</si>
  <si>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</si>
  <si>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</si>
  <si>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</si>
  <si>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</si>
  <si>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</si>
  <si>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</si>
  <si>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</si>
  <si>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</si>
  <si>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</si>
  <si>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</si>
  <si>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</si>
  <si>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</si>
  <si>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</si>
  <si>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</si>
  <si>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</si>
  <si>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</si>
  <si>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</si>
  <si>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</si>
  <si>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</si>
  <si>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</si>
  <si>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</si>
  <si>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</si>
  <si>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</si>
  <si>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</si>
  <si>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</si>
  <si>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</si>
  <si>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</si>
  <si>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</si>
  <si>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</si>
  <si>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</si>
  <si>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</si>
  <si>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</si>
  <si>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</si>
  <si>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</si>
  <si>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</si>
  <si>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</si>
  <si>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</si>
  <si>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</si>
  <si>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</si>
  <si>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</si>
  <si>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</si>
  <si>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</si>
  <si>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</si>
  <si>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</si>
  <si>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</si>
  <si>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</si>
  <si>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</si>
  <si>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</si>
  <si>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</si>
  <si>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</si>
  <si>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</si>
  <si>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</si>
  <si>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</si>
  <si>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</si>
  <si>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</si>
  <si>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</si>
  <si>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</si>
  <si>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</si>
  <si>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</si>
  <si>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</si>
  <si>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</si>
  <si>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</si>
  <si>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</si>
  <si>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</si>
  <si>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</si>
  <si>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</si>
  <si>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</si>
  <si>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</si>
  <si>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</si>
  <si>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</si>
  <si>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</si>
  <si>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</si>
  <si>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</si>
  <si>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</si>
  <si>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</si>
  <si>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</si>
  <si>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</si>
  <si>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</si>
  <si>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</si>
  <si>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</si>
  <si>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</si>
  <si>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</si>
  <si>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</si>
  <si>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</si>
  <si>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</si>
  <si>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</si>
  <si>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</si>
  <si>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</si>
  <si>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</si>
  <si>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</si>
  <si>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</si>
  <si>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</si>
  <si>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</si>
  <si>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</si>
  <si>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</si>
  <si>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</si>
  <si>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</si>
  <si>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</si>
  <si>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</si>
  <si>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</si>
  <si>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</si>
  <si>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</si>
  <si>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</si>
  <si>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</si>
  <si>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</si>
  <si>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</si>
  <si>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</si>
  <si>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</si>
  <si>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</si>
  <si>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</si>
  <si>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</si>
  <si>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</si>
  <si>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</si>
  <si>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</si>
  <si>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</si>
  <si>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</si>
  <si>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</si>
  <si>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</si>
  <si>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</si>
  <si>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</si>
  <si>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</si>
  <si>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</si>
  <si>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</si>
  <si>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</si>
  <si>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</si>
  <si>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</si>
  <si>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</si>
  <si>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</si>
  <si>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</si>
  <si>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</si>
  <si>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</si>
  <si>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</si>
  <si>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</si>
  <si>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</si>
  <si>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</si>
  <si>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</si>
  <si>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</si>
  <si>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</si>
  <si>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</si>
  <si>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</si>
  <si>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</si>
  <si>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</si>
  <si>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</si>
  <si>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</si>
  <si>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</si>
  <si>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</si>
  <si>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</si>
  <si>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</si>
  <si>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</si>
  <si>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</si>
  <si>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</si>
  <si>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</si>
  <si>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</si>
  <si>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</si>
  <si>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</si>
  <si>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</si>
  <si>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</si>
  <si>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</si>
  <si>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</si>
  <si>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</si>
  <si>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</si>
  <si>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</si>
  <si>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</si>
  <si>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</si>
  <si>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</si>
  <si>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</si>
  <si>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</si>
  <si>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</si>
  <si>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</si>
  <si>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</si>
  <si>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</si>
  <si>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</si>
  <si>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</si>
  <si>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</si>
  <si>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</si>
  <si>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</si>
  <si>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</si>
  <si>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</si>
  <si>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</si>
  <si>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</si>
  <si>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</si>
  <si>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</si>
  <si>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</si>
  <si>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</si>
  <si>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</si>
  <si>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</si>
  <si>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</si>
  <si>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</si>
  <si>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</si>
  <si>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</si>
  <si>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</si>
  <si>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</si>
  <si>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</si>
  <si>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</si>
  <si>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</si>
  <si>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</si>
  <si>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</si>
  <si>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</si>
  <si>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</si>
  <si>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</si>
  <si>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</si>
  <si>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</si>
  <si>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</si>
  <si>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</si>
  <si>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</si>
  <si>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</si>
  <si>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</si>
  <si>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</si>
  <si>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</si>
  <si>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</si>
  <si>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</si>
  <si>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</si>
  <si>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</si>
  <si>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</si>
  <si>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</si>
  <si>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</si>
  <si>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</si>
  <si>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</si>
  <si>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</si>
  <si>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</si>
  <si>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</si>
  <si>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</si>
  <si>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</si>
  <si>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</si>
  <si>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</si>
  <si>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</si>
  <si>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</si>
  <si>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</si>
  <si>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</si>
  <si>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</si>
  <si>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</si>
  <si>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</si>
  <si>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</si>
  <si>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</si>
  <si>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</si>
  <si>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</si>
  <si>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</si>
  <si>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</si>
  <si>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</si>
  <si>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</si>
  <si>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</si>
  <si>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</si>
  <si>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</si>
  <si>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</si>
  <si>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</si>
  <si>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</si>
  <si>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</si>
  <si>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</si>
  <si>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</si>
  <si>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</si>
  <si>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</si>
  <si>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</si>
  <si>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</si>
  <si>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</si>
  <si>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</si>
  <si>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</si>
  <si>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</si>
  <si>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</si>
  <si>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</si>
  <si>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</si>
  <si>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</si>
  <si>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</si>
  <si>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</si>
  <si>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</si>
  <si>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</si>
  <si>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</si>
  <si>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</si>
  <si>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</si>
  <si>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</si>
  <si>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</si>
  <si>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</si>
  <si>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</si>
  <si>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</si>
  <si>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</si>
  <si>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</si>
  <si>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</si>
  <si>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</si>
  <si>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</si>
  <si>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</si>
  <si>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</si>
  <si>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</si>
  <si>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</si>
  <si>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</si>
  <si>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</si>
  <si>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</si>
  <si>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</si>
  <si>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</si>
  <si>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</si>
  <si>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</si>
  <si>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</si>
  <si>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</si>
  <si>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</si>
  <si>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</si>
  <si>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</si>
  <si>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</si>
  <si>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</si>
  <si>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</si>
  <si>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</si>
  <si>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</si>
  <si>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</si>
  <si>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</si>
  <si>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</si>
  <si>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</si>
  <si>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</si>
  <si>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</si>
  <si>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</si>
  <si>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</si>
  <si>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</si>
  <si>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</si>
  <si>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</si>
  <si>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</si>
  <si>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</si>
  <si>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</si>
  <si>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</si>
  <si>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</si>
  <si>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</si>
  <si>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</si>
  <si>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</si>
  <si>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</si>
  <si>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</si>
  <si>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</si>
  <si>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</si>
  <si>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</si>
  <si>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</si>
  <si>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</si>
  <si>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</si>
  <si>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</si>
  <si>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</si>
  <si>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</si>
  <si>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</si>
  <si>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</si>
  <si>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</si>
  <si>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</si>
  <si>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</si>
  <si>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</si>
  <si>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</si>
  <si>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</si>
  <si>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</si>
  <si>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</si>
  <si>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</si>
  <si>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</si>
  <si>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</si>
  <si>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</si>
  <si>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</si>
  <si>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</si>
  <si>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</si>
  <si>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</si>
  <si>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</si>
  <si>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</si>
  <si>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</si>
  <si>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</si>
  <si>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</si>
  <si>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</si>
  <si>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</si>
  <si>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</si>
  <si>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</si>
  <si>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</si>
  <si>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</si>
  <si>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</si>
  <si>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</si>
  <si>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</si>
  <si>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</si>
  <si>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</si>
  <si>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</si>
  <si>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</si>
  <si>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</si>
  <si>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</si>
  <si>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</si>
  <si>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</si>
  <si>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</si>
  <si>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</si>
  <si>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</si>
  <si>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</si>
  <si>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</si>
  <si>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</si>
  <si>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</si>
  <si>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</si>
  <si>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</si>
  <si>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</si>
  <si>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</si>
  <si>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</si>
  <si>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</si>
  <si>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</si>
  <si>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</si>
  <si>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</si>
  <si>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</si>
  <si>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</si>
  <si>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</si>
  <si>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</si>
  <si>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</si>
  <si>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</si>
  <si>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</si>
  <si>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</si>
  <si>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</si>
  <si>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</si>
  <si>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</si>
  <si>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</si>
  <si>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</si>
  <si>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</si>
  <si>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</si>
  <si>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</si>
  <si>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</si>
  <si>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</si>
  <si>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</si>
  <si>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</si>
  <si>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</si>
  <si>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</si>
  <si>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</si>
  <si>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</si>
  <si>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</si>
  <si>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</si>
  <si>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</si>
  <si>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</si>
  <si>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</si>
  <si>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</si>
  <si>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</si>
  <si>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</si>
  <si>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</si>
  <si>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</si>
  <si>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</si>
  <si>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</si>
  <si>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</si>
  <si>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</si>
  <si>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</si>
  <si>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</si>
  <si>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</si>
  <si>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</si>
  <si>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</si>
  <si>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</si>
  <si>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</si>
  <si>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</si>
  <si>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</si>
  <si>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</si>
  <si>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</si>
  <si>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</si>
  <si>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</si>
  <si>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</si>
  <si>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</si>
  <si>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</si>
  <si>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</si>
  <si>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</si>
  <si>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</si>
  <si>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</si>
  <si>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</si>
  <si>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</si>
  <si>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</si>
  <si>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</si>
  <si>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</si>
  <si>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</si>
  <si>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</si>
  <si>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</si>
  <si>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</si>
  <si>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</si>
  <si>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</si>
  <si>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</si>
  <si>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</si>
  <si>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</si>
  <si>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</si>
  <si>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</si>
  <si>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</si>
  <si>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</si>
  <si>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</si>
  <si>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</si>
  <si>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</si>
  <si>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</si>
  <si>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</si>
  <si>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</si>
  <si>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</si>
  <si>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</si>
  <si>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</si>
  <si>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</si>
  <si>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</si>
  <si>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</si>
  <si>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</si>
  <si>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</si>
  <si>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</si>
  <si>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</si>
  <si>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</si>
  <si>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</si>
  <si>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</si>
  <si>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</si>
  <si>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</si>
  <si>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</si>
  <si>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</si>
  <si>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</si>
  <si>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</si>
  <si>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</si>
  <si>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</si>
  <si>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</si>
  <si>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</si>
  <si>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</si>
  <si>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</si>
  <si>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</si>
  <si>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</si>
  <si>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</si>
  <si>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</si>
  <si>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</si>
  <si>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</si>
  <si>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</si>
  <si>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</si>
  <si>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</si>
  <si>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</si>
  <si>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</si>
  <si>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</si>
  <si>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</si>
  <si>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</si>
  <si>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</si>
  <si>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</si>
  <si>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</si>
  <si>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</si>
  <si>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</si>
  <si>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</si>
  <si>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</si>
  <si>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</si>
  <si>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</si>
  <si>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</si>
  <si>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</si>
  <si>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</si>
  <si>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</si>
  <si>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</si>
  <si>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</si>
  <si>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</si>
  <si>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</si>
  <si>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</si>
  <si>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</si>
  <si>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</si>
  <si>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</si>
  <si>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</si>
  <si>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</si>
  <si>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</si>
  <si>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</si>
  <si>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</si>
  <si>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</si>
  <si>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</si>
  <si>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</si>
  <si>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</si>
  <si>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</si>
  <si>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</si>
  <si>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</si>
  <si>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</si>
  <si>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</si>
  <si>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</si>
  <si>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</si>
  <si>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</si>
  <si>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</si>
  <si>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</si>
  <si>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</si>
  <si>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</si>
  <si>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</si>
  <si>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</si>
  <si>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</si>
  <si>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</si>
  <si>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</si>
  <si>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</si>
  <si>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</si>
  <si>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</si>
  <si>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</si>
  <si>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</si>
  <si>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</si>
  <si>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</si>
  <si>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</si>
  <si>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</si>
  <si>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</si>
  <si>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</si>
  <si>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</si>
  <si>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</si>
  <si>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</si>
  <si>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</si>
  <si>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</si>
  <si>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</si>
  <si>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</si>
  <si>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</si>
  <si>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</si>
  <si>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</si>
  <si>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</si>
  <si>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</si>
  <si>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</si>
  <si>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</si>
  <si>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</si>
  <si>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</si>
  <si>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</si>
  <si>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</si>
  <si>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</si>
  <si>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</si>
  <si>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</si>
  <si>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</si>
  <si>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</si>
  <si>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</si>
  <si>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</si>
  <si>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</si>
  <si>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</si>
  <si>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</si>
  <si>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</si>
  <si>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</si>
  <si>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</si>
  <si>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</si>
  <si>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</si>
  <si>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</si>
  <si>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</si>
  <si>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</si>
  <si>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</si>
  <si>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</si>
  <si>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</si>
  <si>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</si>
  <si>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</si>
  <si>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</si>
  <si>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</si>
  <si>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</si>
  <si>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</si>
  <si>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</si>
  <si>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</si>
  <si>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</si>
  <si>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</si>
  <si>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</si>
  <si>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</si>
  <si>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</si>
  <si>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</si>
  <si>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</si>
  <si>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</si>
  <si>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</si>
  <si>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</si>
  <si>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</si>
  <si>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</si>
  <si>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</si>
  <si>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</si>
  <si>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</si>
  <si>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</si>
  <si>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</si>
  <si>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</si>
  <si>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</si>
  <si>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</si>
  <si>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</si>
  <si>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</si>
  <si>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</si>
  <si>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</si>
  <si>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</si>
  <si>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</si>
  <si>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</si>
  <si>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</si>
  <si>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</si>
  <si>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</si>
  <si>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</si>
  <si>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</si>
  <si>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</si>
  <si>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</si>
  <si>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</si>
  <si>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</si>
  <si>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</si>
  <si>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</si>
  <si>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</si>
  <si>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</si>
  <si>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</si>
  <si>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</si>
  <si>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</si>
  <si>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</si>
  <si>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</si>
  <si>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</si>
  <si>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</si>
  <si>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</si>
  <si>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</si>
  <si>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</si>
  <si>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</si>
  <si>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</si>
  <si>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</si>
  <si>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</si>
  <si>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</si>
  <si>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</si>
  <si>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</si>
  <si>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</si>
  <si>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</si>
  <si>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</si>
  <si>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</si>
  <si>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</si>
  <si>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</si>
  <si>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</si>
  <si>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</si>
  <si>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</si>
  <si>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</si>
  <si>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</si>
  <si>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</si>
  <si>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</si>
  <si>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</si>
  <si>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</si>
  <si>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</si>
  <si>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</si>
  <si>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</si>
  <si>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</si>
  <si>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</si>
  <si>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</si>
  <si>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</si>
  <si>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</si>
  <si>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</si>
  <si>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</si>
  <si>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</si>
  <si>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</si>
  <si>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</si>
  <si>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</si>
  <si>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</si>
  <si>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</si>
  <si>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</si>
  <si>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</si>
  <si>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</si>
  <si>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</si>
  <si>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</si>
  <si>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</si>
  <si>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</si>
  <si>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</si>
  <si>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</si>
  <si>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</si>
  <si>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</si>
  <si>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</si>
  <si>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</si>
  <si>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</si>
  <si>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</si>
  <si>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</si>
  <si>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</si>
  <si>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</si>
  <si>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</si>
  <si>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</si>
  <si>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</si>
  <si>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</si>
  <si>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</si>
  <si>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</si>
  <si>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</si>
  <si>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</si>
  <si>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</si>
  <si>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</si>
  <si>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</si>
  <si>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</si>
  <si>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</si>
  <si>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</si>
  <si>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</si>
  <si>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</si>
  <si>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</si>
  <si>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</si>
  <si>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</si>
  <si>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</si>
  <si>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</si>
  <si>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</si>
  <si>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</si>
  <si>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</si>
  <si>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</si>
  <si>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</si>
  <si>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</si>
  <si>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</si>
  <si>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</si>
  <si>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</si>
  <si>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</si>
  <si>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</si>
  <si>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</si>
  <si>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</si>
  <si>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</si>
  <si>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</si>
  <si>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</si>
  <si>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</si>
  <si>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</si>
  <si>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</si>
  <si>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</si>
  <si>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</si>
  <si>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</si>
  <si>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</si>
  <si>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</si>
  <si>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</si>
  <si>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</si>
  <si>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</si>
  <si>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</si>
  <si>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</si>
  <si>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</si>
  <si>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</si>
  <si>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</si>
  <si>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</si>
  <si>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</si>
  <si>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</si>
  <si>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</si>
  <si>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</si>
  <si>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</si>
  <si>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</si>
  <si>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</si>
  <si>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</si>
  <si>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</si>
  <si>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</si>
  <si>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</si>
  <si>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</si>
  <si>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</si>
  <si>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</si>
  <si>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</si>
  <si>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</si>
  <si>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</si>
  <si>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</si>
  <si>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</si>
  <si>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</si>
  <si>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</si>
  <si>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</si>
  <si>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</si>
  <si>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</si>
  <si>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</si>
  <si>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</si>
  <si>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</si>
  <si>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</si>
  <si>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</si>
  <si>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</si>
  <si>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</si>
  <si>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</si>
  <si>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</si>
  <si>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</si>
  <si>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</si>
  <si>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</si>
  <si>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</si>
  <si>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</si>
  <si>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</si>
  <si>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</si>
  <si>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</si>
  <si>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</si>
  <si>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</si>
  <si>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</si>
  <si>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</si>
  <si>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</si>
  <si>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</si>
  <si>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</si>
  <si>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</si>
  <si>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</si>
  <si>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</si>
  <si>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</si>
  <si>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</si>
  <si>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</si>
  <si>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</si>
  <si>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</si>
  <si>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</si>
  <si>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</si>
  <si>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</si>
  <si>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</si>
  <si>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</si>
  <si>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</si>
  <si>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</si>
  <si>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</si>
  <si>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</si>
  <si>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</si>
  <si>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</si>
  <si>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</si>
  <si>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</si>
  <si>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</si>
  <si>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</si>
  <si>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</si>
  <si>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</si>
  <si>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</si>
  <si>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</si>
  <si>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</si>
  <si>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</si>
  <si>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</si>
  <si>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</si>
  <si>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</si>
  <si>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</si>
  <si>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</si>
  <si>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</si>
  <si>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</si>
  <si>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</si>
  <si>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</si>
  <si>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</si>
  <si>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</si>
  <si>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</si>
  <si>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</si>
  <si>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</si>
  <si>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</si>
  <si>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</si>
  <si>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</si>
  <si>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</si>
  <si>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</si>
  <si>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</si>
  <si>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</si>
  <si>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</si>
  <si>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</si>
  <si>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</si>
  <si>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</si>
  <si>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</si>
  <si>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</si>
  <si>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</si>
  <si>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</si>
  <si>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</si>
  <si>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</si>
  <si>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</si>
  <si>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</si>
  <si>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</si>
  <si>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</si>
  <si>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</si>
  <si>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</si>
  <si>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</si>
  <si>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</si>
  <si>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</si>
  <si>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</si>
  <si>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</si>
  <si>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</si>
  <si>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</si>
  <si>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</si>
  <si>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</si>
  <si>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</si>
  <si>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</si>
  <si>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</si>
  <si>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</si>
  <si>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</si>
  <si>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</si>
  <si>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</si>
  <si>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</si>
  <si>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</si>
  <si>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</si>
  <si>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</si>
  <si>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</si>
  <si>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</si>
  <si>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</si>
  <si>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</si>
  <si>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</si>
  <si>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</si>
  <si>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</si>
  <si>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</si>
  <si>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</si>
  <si>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</si>
  <si>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</si>
  <si>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</si>
  <si>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</si>
  <si>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</si>
  <si>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</si>
  <si>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</si>
  <si>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</si>
  <si>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</si>
  <si>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</si>
  <si>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</si>
  <si>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</si>
  <si>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</si>
  <si>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</si>
  <si>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</si>
  <si>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</si>
  <si>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</si>
  <si>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</si>
  <si>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</si>
  <si>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</si>
  <si>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</si>
  <si>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</si>
  <si>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</si>
  <si>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</si>
  <si>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</si>
  <si>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</si>
  <si>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</si>
  <si>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</si>
  <si>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</si>
  <si>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</si>
  <si>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</si>
  <si>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</si>
  <si>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</si>
  <si>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</si>
  <si>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</si>
  <si>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</si>
  <si>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</si>
  <si>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</si>
  <si>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</si>
  <si>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</si>
  <si>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</si>
  <si>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</si>
  <si>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</si>
  <si>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</si>
  <si>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</si>
  <si>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</si>
  <si>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</si>
  <si>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</si>
  <si>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</si>
  <si>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</si>
  <si>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</si>
  <si>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</si>
  <si>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</si>
  <si>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</si>
  <si>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</si>
  <si>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</si>
  <si>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</si>
  <si>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</si>
  <si>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</si>
  <si>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</si>
  <si>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</si>
  <si>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</si>
  <si>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</si>
  <si>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</si>
  <si>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</si>
  <si>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</si>
  <si>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</si>
  <si>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</si>
  <si>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</si>
  <si>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</si>
  <si>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</si>
  <si>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</si>
  <si>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</si>
  <si>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</si>
  <si>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</si>
  <si>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</si>
  <si>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</si>
  <si>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</si>
  <si>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</si>
  <si>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</si>
  <si>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</si>
  <si>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</si>
  <si>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</si>
  <si>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</si>
  <si>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</si>
  <si>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</si>
  <si>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</si>
  <si>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</si>
  <si>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</si>
  <si>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</si>
  <si>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</si>
  <si>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</si>
  <si>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</si>
  <si>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</si>
  <si>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</si>
  <si>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</si>
  <si>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</si>
  <si>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</si>
  <si>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</si>
  <si>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</si>
  <si>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</si>
  <si>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</si>
  <si>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</si>
  <si>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</si>
  <si>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</si>
  <si>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</si>
  <si>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</si>
  <si>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</si>
  <si>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</si>
  <si>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</si>
  <si>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</si>
  <si>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</si>
  <si>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</si>
  <si>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</si>
  <si>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</si>
  <si>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</si>
  <si>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</si>
  <si>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</si>
  <si>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</si>
  <si>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</si>
  <si>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</si>
  <si>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</si>
  <si>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</si>
  <si>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</si>
  <si>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</si>
  <si>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</si>
  <si>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</si>
  <si>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</si>
  <si>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</si>
  <si>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</si>
  <si>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</si>
  <si>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</si>
  <si>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</si>
  <si>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</si>
  <si>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</si>
  <si>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</si>
  <si>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</si>
  <si>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</si>
  <si>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</si>
  <si>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</si>
  <si>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</si>
  <si>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</si>
  <si>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</si>
  <si>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</si>
  <si>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</si>
  <si>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</si>
  <si>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</si>
  <si>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</si>
  <si>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</si>
  <si>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</si>
  <si>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</si>
  <si>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</si>
  <si>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</si>
  <si>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</si>
  <si>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</si>
  <si>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</si>
  <si>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</si>
  <si>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</si>
  <si>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</si>
  <si>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</si>
  <si>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</si>
  <si>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</si>
  <si>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</si>
  <si>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</si>
  <si>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</si>
  <si>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</si>
  <si>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</si>
  <si>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</si>
  <si>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</si>
  <si>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</si>
  <si>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</si>
  <si>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</si>
  <si>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</si>
  <si>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</si>
  <si>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</si>
  <si>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</si>
  <si>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</si>
  <si>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</si>
  <si>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</si>
  <si>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</si>
  <si>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</si>
  <si>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</si>
  <si>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</si>
  <si>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</si>
  <si>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</si>
  <si>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</si>
  <si>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</si>
  <si>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</si>
  <si>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</si>
  <si>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</si>
  <si>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</si>
  <si>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</si>
  <si>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</si>
  <si>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</si>
  <si>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</si>
  <si>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</si>
  <si>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</si>
  <si>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</si>
  <si>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</si>
  <si>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</si>
  <si>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</si>
  <si>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</si>
  <si>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</si>
  <si>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</si>
  <si>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</si>
  <si>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</si>
  <si>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</si>
  <si>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</si>
  <si>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</si>
  <si>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</si>
  <si>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</si>
  <si>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</si>
  <si>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</si>
  <si>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</si>
  <si>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</si>
  <si>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</si>
  <si>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</si>
  <si>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</si>
  <si>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</si>
  <si>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</si>
  <si>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</si>
  <si>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</si>
  <si>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</si>
  <si>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</si>
  <si>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</si>
  <si>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</si>
  <si>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</si>
  <si>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</si>
  <si>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</si>
  <si>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</si>
  <si>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</si>
  <si>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</si>
  <si>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</si>
  <si>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</si>
  <si>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</si>
  <si>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</si>
  <si>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</si>
  <si>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</si>
  <si>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</si>
  <si>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</si>
  <si>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</si>
  <si>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</si>
  <si>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</si>
  <si>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</si>
  <si>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</si>
  <si>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</si>
  <si>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</si>
  <si>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</si>
  <si>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</si>
  <si>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</si>
  <si>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</si>
  <si>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</si>
  <si>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</si>
  <si>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</si>
  <si>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</si>
  <si>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</si>
  <si>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</si>
  <si>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</si>
  <si>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</si>
  <si>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</si>
  <si>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</si>
  <si>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</si>
  <si>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</si>
  <si>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</si>
  <si>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</si>
  <si>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</si>
  <si>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</si>
  <si>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</si>
  <si>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</si>
  <si>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</si>
  <si>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</si>
  <si>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</si>
  <si>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</si>
  <si>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</si>
  <si>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</si>
  <si>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</si>
  <si>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</si>
  <si>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</si>
  <si>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</si>
  <si>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</si>
  <si>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</si>
  <si>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</si>
  <si>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</si>
  <si>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</si>
  <si>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</si>
  <si>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</si>
  <si>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</si>
  <si>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</si>
  <si>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</si>
  <si>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</si>
  <si>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</si>
  <si>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</si>
  <si>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</si>
  <si>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</si>
  <si>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</si>
  <si>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</si>
  <si>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</si>
  <si>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</si>
  <si>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</si>
  <si>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</si>
  <si>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</si>
  <si>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</si>
  <si>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</si>
  <si>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</si>
  <si>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</si>
  <si>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</si>
  <si>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</si>
  <si>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</si>
  <si>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</si>
  <si>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</si>
  <si>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</si>
  <si>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</si>
  <si>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</si>
  <si>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</si>
  <si>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</si>
  <si>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</si>
  <si>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</si>
  <si>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</si>
  <si>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</si>
  <si>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</si>
  <si>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</si>
  <si>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</si>
  <si>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</si>
  <si>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</si>
  <si>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</si>
  <si>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</si>
  <si>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</si>
  <si>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</si>
  <si>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</si>
  <si>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</si>
  <si>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</si>
  <si>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</si>
  <si>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</si>
  <si>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</si>
  <si>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</si>
  <si>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</si>
  <si>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</si>
  <si>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</si>
  <si>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</si>
  <si>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</si>
  <si>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</si>
  <si>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</si>
  <si>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</si>
  <si>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</si>
  <si>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</si>
  <si>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</si>
  <si>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</si>
  <si>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</si>
  <si>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</si>
  <si>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</si>
  <si>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</si>
  <si>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</si>
  <si>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</si>
  <si>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</si>
  <si>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</si>
  <si>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</si>
  <si>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</si>
  <si>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</si>
  <si>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</si>
  <si>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</si>
  <si>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</si>
  <si>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</si>
  <si>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</si>
  <si>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</si>
  <si>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</si>
  <si>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</si>
  <si>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</si>
  <si>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</si>
  <si>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</si>
  <si>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</si>
  <si>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</si>
  <si>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</si>
  <si>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</si>
  <si>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</si>
  <si>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</si>
  <si>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</si>
  <si>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</si>
  <si>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</si>
  <si>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</si>
  <si>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</si>
  <si>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</si>
  <si>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</si>
  <si>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</si>
  <si>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</si>
  <si>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</si>
  <si>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</si>
  <si>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</si>
  <si>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</si>
  <si>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</si>
  <si>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</si>
  <si>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</si>
  <si>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</si>
  <si>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</si>
  <si>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</si>
  <si>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</si>
  <si>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</si>
  <si>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</si>
  <si>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</si>
  <si>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</si>
  <si>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</si>
  <si>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</si>
  <si>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</si>
  <si>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</si>
  <si>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</si>
  <si>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</si>
  <si>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</si>
  <si>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</si>
  <si>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</si>
  <si>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</si>
  <si>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</si>
  <si>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</si>
  <si>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</si>
  <si>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</si>
  <si>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</si>
  <si>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</si>
  <si>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</si>
  <si>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</si>
  <si>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</si>
  <si>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</si>
  <si>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</si>
  <si>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</si>
  <si>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</si>
  <si>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</si>
  <si>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</si>
  <si>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</si>
  <si>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</si>
  <si>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</si>
  <si>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</si>
  <si>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</si>
  <si>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</si>
  <si>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</si>
  <si>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</si>
  <si>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</si>
  <si>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</si>
  <si>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</si>
  <si>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</si>
  <si>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</si>
  <si>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</si>
  <si>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</si>
  <si>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</si>
  <si>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</si>
  <si>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</si>
  <si>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</si>
  <si>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</si>
  <si>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</si>
  <si>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</si>
  <si>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</si>
  <si>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</si>
  <si>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</si>
  <si>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</si>
  <si>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</si>
  <si>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</si>
  <si>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</si>
  <si>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</si>
  <si>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</si>
  <si>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</si>
  <si>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</si>
  <si>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</si>
  <si>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</si>
  <si>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</si>
  <si>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</si>
  <si>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</si>
  <si>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</si>
  <si>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</si>
  <si>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</si>
  <si>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</si>
  <si>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</si>
  <si>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</si>
  <si>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</si>
  <si>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</si>
  <si>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</si>
  <si>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</si>
  <si>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</si>
  <si>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</si>
  <si>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</si>
  <si>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</si>
  <si>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</si>
  <si>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</si>
  <si>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</si>
  <si>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</si>
  <si>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</si>
  <si>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</si>
  <si>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</si>
  <si>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</si>
  <si>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</si>
  <si>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</si>
  <si>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</si>
  <si>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</si>
  <si>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</si>
  <si>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</si>
  <si>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</si>
  <si>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</si>
  <si>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</si>
  <si>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</si>
  <si>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</si>
  <si>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</si>
  <si>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</si>
  <si>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</si>
  <si>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</si>
  <si>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</si>
  <si>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</si>
  <si>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</si>
  <si>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</si>
  <si>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</si>
  <si>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</si>
  <si>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</si>
  <si>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</si>
  <si>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</si>
  <si>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</si>
  <si>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</si>
  <si>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</si>
  <si>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</si>
  <si>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</si>
  <si>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</si>
  <si>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</si>
  <si>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</si>
  <si>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</si>
  <si>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</si>
  <si>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</si>
  <si>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</si>
  <si>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</si>
  <si>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</si>
  <si>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</si>
  <si>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</si>
  <si>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</si>
  <si>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</si>
  <si>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</si>
  <si>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</si>
  <si>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</si>
  <si>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</si>
  <si>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</si>
  <si>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</si>
  <si>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</si>
  <si>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</si>
  <si>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</si>
  <si>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</si>
  <si>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</si>
  <si>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</si>
  <si>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</si>
  <si>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</si>
  <si>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</si>
  <si>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</si>
  <si>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</si>
  <si>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</si>
  <si>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</si>
  <si>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</si>
  <si>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</si>
  <si>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</si>
  <si>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</si>
  <si>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</si>
  <si>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</si>
  <si>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</si>
  <si>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</si>
  <si>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</si>
  <si>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</si>
  <si>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</si>
  <si>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</si>
  <si>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</si>
  <si>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</si>
  <si>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</si>
  <si>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</si>
  <si>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</si>
  <si>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</si>
  <si>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</si>
  <si>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</si>
  <si>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</si>
  <si>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</si>
  <si>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</si>
  <si>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</si>
  <si>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</si>
  <si>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</si>
  <si>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</si>
  <si>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</si>
  <si>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</si>
  <si>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</si>
  <si>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</si>
  <si>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</si>
  <si>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</si>
  <si>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</si>
  <si>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</si>
  <si>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</si>
  <si>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</si>
  <si>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</si>
  <si>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</si>
  <si>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</si>
  <si>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</si>
  <si>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</si>
  <si>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</si>
  <si>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</si>
  <si>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</si>
  <si>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</si>
  <si>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</si>
  <si>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</si>
  <si>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</si>
  <si>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</si>
  <si>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</si>
  <si>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</si>
  <si>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</si>
  <si>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</si>
  <si>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</si>
  <si>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</si>
  <si>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</si>
  <si>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</si>
  <si>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</si>
  <si>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</si>
  <si>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</si>
  <si>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</si>
  <si>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</si>
  <si>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</si>
  <si>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</si>
  <si>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</si>
  <si>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</si>
  <si>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</si>
  <si>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</si>
  <si>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</si>
  <si>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</si>
  <si>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</si>
  <si>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</si>
  <si>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</si>
  <si>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</si>
  <si>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</si>
  <si>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</si>
  <si>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</si>
  <si>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</si>
  <si>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</si>
  <si>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</si>
  <si>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</si>
  <si>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</si>
  <si>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</si>
  <si>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</si>
  <si>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</si>
  <si>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</si>
  <si>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</si>
  <si>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</si>
  <si>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</si>
  <si>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</si>
  <si>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</si>
  <si>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</si>
  <si>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</si>
  <si>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</si>
  <si>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</si>
  <si>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</si>
  <si>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</si>
  <si>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</si>
  <si>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</si>
  <si>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</si>
  <si>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</si>
  <si>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</si>
  <si>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</si>
  <si>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</si>
  <si>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</si>
  <si>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</si>
  <si>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</si>
  <si>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</si>
  <si>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</si>
  <si>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</si>
  <si>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</si>
  <si>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</si>
  <si>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</si>
  <si>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</si>
  <si>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</si>
  <si>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</si>
  <si>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</si>
  <si>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</si>
  <si>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</si>
  <si>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</si>
  <si>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</si>
  <si>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</si>
  <si>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</si>
  <si>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</si>
  <si>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</si>
  <si>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</si>
  <si>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</si>
  <si>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</si>
  <si>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</si>
  <si>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</si>
  <si>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</si>
  <si>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</si>
  <si>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</si>
  <si>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</si>
  <si>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</si>
  <si>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</si>
  <si>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</si>
  <si>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</si>
  <si>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</si>
  <si>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</si>
  <si>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</si>
  <si>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</si>
  <si>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</si>
  <si>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</si>
  <si>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</si>
  <si>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</si>
  <si>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</si>
  <si>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</si>
  <si>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</si>
  <si>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</si>
  <si>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</si>
  <si>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</si>
  <si>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</si>
  <si>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</si>
  <si>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</si>
  <si>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</si>
  <si>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</si>
  <si>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</si>
  <si>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</si>
  <si>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</si>
  <si>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</si>
  <si>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</si>
  <si>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</si>
  <si>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</si>
  <si>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</si>
  <si>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</si>
  <si>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</si>
  <si>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</si>
  <si>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</si>
  <si>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</si>
  <si>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</si>
  <si>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</si>
  <si>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</si>
  <si>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</si>
  <si>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</si>
  <si>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</si>
  <si>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</si>
  <si>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</si>
  <si>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</si>
  <si>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</si>
  <si>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</si>
  <si>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</si>
  <si>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</si>
  <si>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</si>
  <si>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</si>
  <si>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</si>
  <si>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</si>
  <si>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</si>
  <si>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</si>
  <si>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</si>
  <si>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</si>
  <si>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</si>
  <si>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</si>
  <si>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</si>
  <si>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</si>
  <si>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</si>
  <si>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</si>
  <si>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</si>
  <si>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</si>
  <si>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</si>
  <si>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</si>
  <si>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</si>
  <si>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</si>
  <si>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</si>
  <si>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</si>
  <si>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</si>
  <si>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</si>
  <si>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</si>
  <si>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</si>
  <si>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</si>
  <si>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</si>
  <si>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</si>
  <si>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</si>
  <si>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</si>
  <si>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</si>
  <si>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</si>
  <si>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</si>
  <si>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</si>
  <si>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</si>
  <si>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</si>
  <si>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</si>
  <si>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</si>
  <si>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</si>
  <si>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</si>
  <si>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</si>
  <si>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</si>
  <si>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</si>
  <si>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</si>
  <si>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</si>
  <si>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</si>
  <si>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</si>
  <si>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</si>
  <si>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</si>
  <si>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</si>
  <si>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</si>
  <si>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</si>
  <si>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</si>
  <si>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</si>
  <si>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</si>
  <si>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</si>
  <si>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</si>
  <si>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</si>
  <si>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</si>
  <si>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</si>
  <si>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</si>
  <si>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</si>
  <si>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</si>
  <si>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</si>
  <si>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</si>
  <si>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</si>
  <si>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</si>
  <si>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</si>
  <si>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</si>
  <si>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</si>
  <si>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</si>
  <si>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</si>
  <si>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</si>
  <si>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</si>
  <si>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</si>
  <si>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</si>
  <si>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</si>
  <si>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</si>
  <si>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</si>
  <si>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</si>
  <si>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</si>
  <si>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</si>
  <si>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</si>
  <si>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</si>
  <si>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</si>
  <si>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</si>
  <si>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</si>
  <si>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</si>
  <si>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</si>
  <si>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</si>
  <si>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</si>
  <si>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</si>
  <si>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</si>
  <si>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</si>
  <si>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</si>
  <si>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</si>
  <si>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</si>
  <si>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</si>
  <si>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</si>
  <si>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</si>
  <si>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</si>
  <si>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</si>
  <si>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</si>
  <si>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</si>
  <si>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</si>
  <si>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</si>
  <si>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</si>
  <si>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</si>
  <si>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</si>
  <si>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</si>
  <si>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</si>
  <si>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</si>
  <si>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</si>
  <si>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</si>
  <si>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</si>
  <si>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</si>
  <si>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</si>
  <si>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</si>
  <si>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</si>
  <si>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</si>
  <si>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</si>
  <si>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</si>
  <si>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</si>
  <si>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</si>
  <si>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</si>
  <si>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</si>
  <si>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</si>
  <si>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</si>
  <si>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</si>
  <si>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</si>
  <si>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</si>
  <si>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</si>
  <si>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</si>
  <si>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</si>
  <si>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</si>
  <si>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</si>
  <si>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</si>
  <si>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</si>
  <si>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</si>
  <si>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</si>
  <si>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</si>
  <si>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</si>
  <si>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</si>
  <si>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</si>
  <si>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</si>
  <si>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</si>
  <si>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</si>
  <si>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</si>
  <si>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</si>
  <si>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</si>
  <si>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</si>
  <si>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</si>
  <si>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</si>
  <si>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</si>
  <si>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</si>
  <si>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</si>
  <si>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</si>
  <si>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</si>
  <si>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</si>
  <si>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</si>
  <si>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</si>
  <si>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</si>
  <si>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</si>
  <si>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</si>
  <si>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</si>
  <si>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</si>
  <si>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</si>
  <si>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</si>
  <si>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</si>
  <si>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</si>
  <si>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</si>
  <si>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</si>
  <si>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</si>
  <si>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</si>
  <si>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</si>
  <si>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</si>
  <si>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</si>
  <si>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</si>
  <si>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</si>
  <si>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</si>
  <si>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</si>
  <si>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</si>
  <si>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</si>
  <si>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</si>
  <si>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</si>
  <si>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</si>
  <si>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</si>
  <si>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</si>
  <si>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</si>
  <si>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</si>
  <si>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</si>
  <si>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</si>
  <si>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</si>
  <si>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</si>
  <si>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</si>
  <si>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</si>
  <si>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</si>
  <si>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</si>
  <si>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</si>
  <si>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</si>
  <si>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</si>
  <si>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</si>
  <si>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</si>
  <si>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</si>
  <si>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</si>
  <si>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</si>
  <si>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</si>
  <si>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</si>
  <si>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</si>
  <si>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</si>
  <si>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</si>
  <si>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</si>
  <si>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</si>
  <si>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</si>
  <si>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</si>
  <si>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</si>
  <si>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</si>
  <si>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</si>
  <si>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</si>
  <si>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</si>
  <si>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</si>
  <si>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</si>
  <si>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</si>
  <si>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</si>
  <si>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</si>
  <si>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</si>
  <si>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</si>
  <si>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</si>
  <si>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</si>
  <si>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</si>
  <si>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</si>
  <si>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</si>
  <si>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</si>
  <si>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</si>
  <si>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</si>
  <si>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</si>
  <si>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</si>
  <si>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</si>
  <si>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</si>
  <si>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</si>
  <si>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</si>
  <si>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</si>
  <si>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</si>
  <si>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</si>
  <si>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</si>
  <si>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</si>
  <si>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</si>
  <si>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</si>
  <si>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</si>
  <si>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</si>
  <si>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</si>
  <si>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</si>
  <si>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</si>
  <si>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</si>
  <si>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</si>
  <si>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</si>
  <si>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</si>
  <si>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</si>
  <si>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</si>
  <si>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</si>
  <si>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</si>
  <si>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</si>
  <si>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</si>
  <si>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</si>
  <si>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</si>
  <si>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</si>
  <si>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</si>
  <si>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</si>
  <si>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</si>
  <si>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</si>
  <si>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</si>
  <si>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</si>
  <si>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</si>
  <si>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</si>
  <si>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</si>
  <si>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</si>
  <si>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</si>
  <si>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</si>
  <si>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</si>
  <si>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</si>
  <si>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</si>
  <si>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</si>
  <si>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</si>
  <si>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</si>
  <si>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</si>
  <si>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</si>
  <si>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</si>
  <si>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</si>
  <si>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</si>
  <si>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</si>
  <si>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</si>
  <si>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</si>
  <si>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</si>
  <si>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</si>
  <si>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</si>
  <si>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</si>
  <si>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</si>
  <si>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</si>
  <si>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</si>
  <si>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</si>
  <si>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</si>
  <si>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</si>
  <si>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</si>
  <si>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</si>
  <si>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</si>
  <si>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</si>
  <si>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</si>
  <si>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</si>
  <si>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</si>
  <si>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</si>
  <si>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</si>
  <si>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</si>
  <si>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</si>
  <si>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</si>
  <si>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</si>
  <si>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</si>
  <si>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</si>
  <si>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</si>
  <si>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</si>
  <si>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</si>
  <si>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</si>
  <si>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</si>
  <si>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</si>
  <si>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</si>
  <si>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</si>
  <si>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</si>
  <si>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</si>
  <si>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</si>
  <si>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</si>
  <si>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</si>
  <si>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</si>
  <si>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</si>
  <si>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</si>
  <si>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</si>
  <si>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</si>
  <si>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</si>
  <si>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</si>
  <si>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</si>
  <si>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</si>
  <si>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</si>
  <si>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</si>
  <si>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</si>
  <si>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</si>
  <si>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</si>
  <si>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</si>
  <si>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</si>
  <si>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</si>
  <si>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</si>
  <si>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</si>
  <si>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</si>
  <si>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</si>
  <si>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</si>
  <si>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</si>
  <si>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</si>
  <si>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</si>
  <si>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</si>
  <si>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</si>
  <si>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</si>
  <si>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</si>
  <si>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</si>
  <si>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</si>
  <si>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</si>
  <si>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</si>
  <si>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</si>
  <si>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</si>
  <si>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</si>
  <si>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</si>
  <si>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</si>
  <si>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</si>
  <si>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</si>
  <si>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</si>
  <si>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</si>
  <si>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</si>
  <si>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</si>
  <si>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</si>
  <si>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</si>
  <si>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</si>
  <si>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</si>
  <si>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</si>
  <si>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</si>
  <si>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</si>
  <si>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</si>
  <si>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</si>
  <si>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</si>
  <si>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</si>
  <si>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</si>
  <si>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</si>
  <si>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</si>
  <si>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</si>
  <si>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</si>
  <si>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</si>
  <si>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</si>
  <si>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</si>
  <si>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</si>
  <si>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</si>
  <si>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</si>
  <si>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</si>
  <si>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</si>
  <si>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</si>
  <si>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</si>
  <si>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</si>
  <si>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</si>
  <si>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</si>
  <si>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</si>
  <si>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</si>
  <si>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</si>
  <si>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</si>
  <si>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</si>
  <si>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</si>
  <si>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</si>
  <si>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</si>
  <si>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</si>
  <si>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</si>
  <si>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</si>
  <si>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</si>
  <si>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</si>
  <si>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</si>
  <si>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</si>
  <si>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</si>
  <si>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</si>
  <si>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</si>
  <si>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</si>
  <si>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</si>
  <si>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</si>
  <si>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</si>
  <si>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</si>
  <si>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</si>
  <si>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</si>
  <si>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</si>
  <si>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</si>
  <si>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</si>
  <si>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</si>
  <si>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</si>
  <si>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</si>
  <si>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</si>
  <si>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</si>
  <si>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</si>
  <si>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</si>
  <si>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</si>
  <si>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</si>
  <si>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</si>
  <si>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</si>
  <si>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</si>
  <si>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</si>
  <si>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</si>
  <si>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</si>
  <si>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</si>
  <si>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</si>
  <si>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</si>
  <si>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</si>
  <si>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</si>
  <si>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</si>
  <si>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</si>
  <si>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</si>
  <si>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</si>
  <si>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</si>
  <si>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</si>
  <si>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</si>
  <si>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</si>
  <si>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</si>
  <si>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</si>
  <si>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</si>
  <si>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</si>
  <si>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</si>
  <si>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</si>
  <si>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</si>
  <si>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</si>
  <si>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</si>
  <si>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</si>
  <si>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</si>
  <si>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</si>
  <si>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</si>
  <si>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</si>
  <si>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</si>
  <si>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</si>
  <si>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</si>
  <si>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</si>
  <si>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</si>
  <si>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</si>
  <si>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</si>
  <si>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</si>
  <si>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</si>
  <si>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</si>
  <si>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</si>
  <si>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</si>
  <si>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</si>
  <si>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</si>
  <si>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</si>
  <si>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</si>
  <si>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</si>
  <si>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</si>
  <si>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</si>
  <si>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</si>
  <si>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</si>
  <si>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</si>
  <si>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</si>
  <si>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</si>
  <si>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</si>
  <si>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</si>
  <si>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</si>
  <si>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</si>
  <si>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</si>
  <si>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</si>
  <si>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</si>
  <si>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</si>
  <si>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</si>
  <si>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</si>
  <si>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</si>
  <si>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</si>
  <si>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</si>
  <si>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</si>
  <si>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</si>
  <si>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</si>
  <si>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</si>
  <si>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</si>
  <si>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</si>
  <si>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</si>
  <si>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</si>
  <si>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</si>
  <si>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</si>
  <si>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</si>
  <si>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</si>
  <si>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</si>
  <si>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</si>
  <si>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</si>
  <si>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</si>
  <si>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</si>
  <si>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</si>
  <si>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</si>
  <si>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</si>
  <si>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</si>
  <si>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</si>
  <si>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</si>
  <si>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</si>
  <si>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</si>
  <si>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</si>
  <si>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</si>
  <si>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</si>
  <si>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</si>
  <si>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</si>
  <si>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</si>
  <si>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</si>
  <si>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</si>
  <si>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</si>
  <si>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</si>
  <si>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</si>
  <si>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</si>
  <si>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</si>
  <si>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</si>
  <si>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</si>
  <si>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</si>
  <si>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</si>
  <si>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</si>
  <si>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</si>
  <si>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</si>
  <si>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</si>
  <si>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</si>
  <si>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</si>
  <si>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</si>
  <si>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</si>
  <si>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</si>
  <si>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</si>
  <si>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</si>
  <si>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</si>
  <si>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</si>
  <si>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</si>
  <si>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</si>
  <si>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</si>
  <si>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</si>
  <si>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</si>
  <si>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</si>
  <si>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</si>
  <si>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</si>
  <si>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</si>
  <si>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</si>
  <si>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</si>
  <si>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</si>
  <si>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</si>
  <si>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</si>
  <si>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</si>
  <si>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</si>
  <si>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</si>
  <si>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</si>
  <si>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</si>
  <si>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</si>
  <si>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</si>
  <si>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</si>
  <si>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</si>
  <si>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</si>
  <si>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</si>
  <si>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</si>
  <si>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</si>
  <si>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</si>
  <si>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</si>
  <si>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</si>
  <si>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</si>
  <si>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</si>
  <si>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</si>
  <si>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</si>
  <si>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</si>
  <si>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</si>
  <si>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</si>
  <si>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</si>
  <si>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</si>
  <si>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</si>
  <si>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</si>
  <si>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</si>
  <si>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</si>
  <si>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</si>
  <si>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</si>
  <si>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</si>
  <si>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</si>
  <si>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</si>
  <si>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</si>
  <si>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</si>
  <si>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</si>
  <si>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</si>
  <si>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</si>
  <si>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</si>
  <si>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</si>
  <si>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</si>
  <si>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</si>
  <si>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</si>
  <si>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</si>
  <si>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</si>
  <si>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</si>
  <si>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</si>
  <si>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</si>
  <si>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</si>
  <si>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</si>
  <si>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</si>
  <si>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</si>
  <si>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</si>
  <si>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</si>
  <si>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</si>
  <si>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</si>
  <si>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</si>
  <si>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</si>
  <si>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</si>
  <si>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</si>
  <si>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</si>
  <si>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</si>
  <si>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</si>
  <si>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</si>
  <si>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</si>
  <si>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</si>
  <si>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</si>
  <si>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</si>
  <si>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</si>
  <si>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</si>
  <si>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</si>
  <si>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</si>
  <si>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</si>
  <si>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</si>
  <si>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</si>
  <si>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</si>
  <si>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</si>
  <si>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</si>
  <si>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</si>
  <si>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</si>
  <si>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</si>
  <si>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</si>
  <si>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</si>
  <si>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</si>
  <si>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</si>
  <si>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</si>
  <si>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</si>
  <si>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</si>
  <si>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</si>
  <si>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</si>
  <si>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</si>
  <si>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</si>
  <si>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</si>
  <si>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</si>
  <si>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</si>
  <si>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</si>
  <si>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</si>
  <si>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</si>
  <si>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</si>
  <si>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</si>
  <si>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</si>
  <si>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</si>
  <si>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</si>
  <si>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</si>
  <si>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</si>
  <si>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</si>
  <si>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</si>
  <si>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</si>
  <si>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</si>
  <si>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</si>
  <si>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</si>
  <si>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</si>
  <si>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</si>
  <si>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</si>
  <si>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</si>
  <si>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</si>
  <si>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</si>
  <si>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</si>
  <si>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</si>
  <si>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</si>
  <si>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</si>
  <si>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</si>
  <si>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</si>
  <si>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</si>
  <si>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</si>
  <si>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</si>
  <si>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</si>
  <si>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</si>
  <si>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</si>
  <si>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</si>
  <si>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</si>
  <si>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</si>
  <si>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</si>
  <si>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</si>
  <si>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</si>
  <si>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</si>
  <si>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</si>
  <si>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</si>
  <si>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</si>
  <si>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</si>
  <si>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</si>
  <si>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</si>
  <si>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</si>
  <si>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</si>
  <si>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</si>
  <si>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</si>
  <si>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</si>
  <si>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</si>
  <si>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</si>
  <si>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</si>
  <si>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</si>
  <si>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</si>
  <si>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</si>
  <si>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</si>
  <si>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</si>
  <si>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</si>
  <si>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</si>
  <si>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</si>
  <si>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</si>
  <si>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</si>
  <si>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</si>
  <si>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</si>
  <si>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</si>
  <si>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</si>
  <si>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</si>
  <si>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</si>
  <si>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</si>
  <si>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</si>
  <si>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</si>
  <si>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</si>
  <si>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</si>
  <si>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</si>
  <si>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</si>
  <si>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</si>
  <si>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</si>
  <si>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</si>
  <si>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</si>
  <si>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</si>
  <si>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</si>
  <si>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</si>
  <si>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</si>
  <si>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</si>
  <si>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</si>
  <si>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</si>
  <si>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</si>
  <si>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</si>
  <si>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</si>
  <si>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</si>
  <si>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</si>
  <si>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</si>
  <si>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</si>
  <si>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</si>
  <si>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</si>
  <si>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</si>
  <si>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</si>
  <si>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</si>
  <si>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</si>
  <si>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</si>
  <si>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</si>
  <si>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</si>
  <si>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</si>
  <si>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</si>
  <si>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</si>
  <si>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</si>
  <si>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</si>
  <si>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</si>
  <si>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</si>
  <si>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</si>
  <si>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</si>
  <si>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</si>
  <si>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</si>
  <si>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</si>
  <si>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</si>
  <si>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</si>
  <si>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</si>
  <si>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</si>
  <si>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</si>
  <si>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</si>
  <si>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</si>
  <si>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</si>
  <si>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</si>
  <si>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</si>
  <si>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</si>
  <si>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</si>
  <si>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</si>
  <si>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</si>
  <si>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</si>
  <si>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</si>
  <si>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</si>
  <si>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</si>
  <si>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</si>
  <si>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</si>
  <si>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</si>
  <si>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</si>
  <si>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</si>
  <si>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</si>
  <si>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</si>
  <si>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</si>
  <si>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</si>
  <si>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</si>
  <si>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</si>
  <si>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</si>
  <si>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</si>
  <si>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</si>
  <si>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</si>
  <si>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</si>
  <si>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</si>
  <si>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</si>
  <si>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</si>
  <si>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</si>
  <si>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</si>
  <si>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</si>
  <si>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</si>
  <si>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</si>
  <si>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</si>
  <si>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</si>
  <si>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</si>
  <si>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</si>
  <si>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</si>
  <si>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</si>
  <si>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</si>
  <si>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</si>
  <si>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</si>
  <si>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</si>
  <si>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</si>
  <si>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</si>
  <si>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</si>
  <si>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</si>
  <si>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</si>
  <si>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</si>
  <si>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</si>
  <si>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</si>
  <si>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</si>
  <si>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</si>
  <si>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</si>
  <si>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</si>
  <si>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</si>
  <si>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</si>
  <si>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</si>
  <si>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</si>
  <si>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</si>
  <si>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</si>
  <si>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</si>
  <si>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</si>
  <si>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</si>
  <si>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</si>
  <si>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</si>
  <si>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</si>
  <si>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</si>
  <si>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</si>
  <si>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</si>
  <si>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</si>
  <si>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</si>
  <si>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</si>
  <si>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</si>
  <si>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</si>
  <si>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</si>
  <si>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</si>
  <si>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</si>
  <si>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</si>
  <si>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</si>
  <si>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</si>
  <si>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</si>
  <si>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</si>
  <si>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</si>
  <si>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</si>
  <si>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</si>
  <si>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</si>
  <si>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</si>
  <si>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</si>
  <si>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</si>
  <si>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</si>
  <si>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</si>
  <si>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</si>
  <si>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</si>
  <si>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</si>
  <si>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</si>
  <si>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</si>
  <si>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</si>
  <si>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</si>
  <si>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</si>
  <si>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</si>
  <si>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</si>
  <si>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</si>
  <si>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</si>
  <si>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</si>
  <si>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</si>
  <si>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</si>
  <si>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</si>
  <si>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</si>
  <si>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</si>
  <si>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</si>
  <si>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</si>
  <si>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</si>
  <si>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</si>
  <si>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</si>
  <si>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</si>
  <si>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</si>
  <si>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</si>
  <si>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</si>
  <si>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</si>
  <si>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</si>
  <si>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</si>
  <si>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</si>
  <si>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</si>
  <si>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</si>
  <si>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</si>
  <si>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</si>
  <si>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</si>
  <si>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</si>
  <si>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</si>
  <si>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</si>
  <si>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</si>
  <si>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</si>
  <si>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</si>
  <si>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</si>
  <si>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</si>
  <si>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</si>
  <si>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</si>
  <si>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</si>
  <si>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</si>
  <si>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</si>
  <si>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</si>
  <si>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</si>
  <si>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</si>
  <si>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</si>
  <si>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</si>
  <si>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</si>
  <si>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</si>
  <si>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</si>
  <si>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</si>
  <si>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</si>
  <si>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</si>
  <si>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</si>
  <si>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</si>
  <si>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</si>
  <si>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</si>
  <si>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</si>
  <si>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</si>
  <si>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</si>
  <si>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</si>
  <si>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</si>
  <si>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</si>
  <si>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</si>
  <si>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</si>
  <si>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</si>
  <si>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</si>
  <si>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</si>
  <si>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</si>
  <si>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</si>
  <si>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</si>
  <si>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</si>
  <si>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</si>
  <si>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</si>
  <si>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</si>
  <si>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</si>
  <si>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</si>
  <si>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</si>
  <si>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</si>
  <si>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</si>
  <si>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</si>
  <si>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</si>
  <si>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</si>
  <si>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</si>
  <si>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</si>
  <si>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</si>
  <si>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</si>
  <si>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</si>
  <si>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</si>
  <si>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</si>
  <si>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</si>
  <si>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</si>
  <si>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</si>
  <si>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</si>
  <si>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</si>
  <si>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</si>
  <si>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</si>
  <si>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</si>
  <si>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</si>
  <si>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</si>
  <si>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</si>
  <si>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</si>
  <si>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</si>
  <si>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</si>
  <si>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</si>
  <si>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</si>
  <si>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</si>
  <si>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</si>
  <si>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</si>
  <si>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</si>
  <si>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</si>
  <si>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</si>
  <si>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</si>
  <si>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</si>
  <si>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</si>
  <si>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</si>
  <si>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</si>
  <si>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</si>
  <si>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</si>
  <si>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</si>
  <si>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</si>
  <si>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</si>
  <si>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</si>
  <si>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</si>
  <si>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</si>
  <si>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</si>
  <si>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</si>
  <si>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</si>
  <si>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</si>
  <si>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</si>
  <si>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</si>
  <si>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</si>
  <si>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</si>
  <si>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</si>
  <si>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</si>
  <si>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</si>
  <si>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</si>
  <si>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</si>
  <si>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</si>
  <si>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</si>
  <si>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</si>
  <si>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</si>
  <si>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</si>
  <si>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</si>
  <si>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</si>
  <si>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</si>
  <si>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</si>
  <si>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</si>
  <si>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</si>
  <si>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</si>
  <si>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</si>
  <si>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</si>
  <si>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</si>
  <si>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</si>
  <si>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</si>
  <si>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</si>
  <si>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</si>
  <si>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</si>
  <si>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</si>
  <si>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</si>
  <si>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</si>
  <si>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</si>
  <si>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</si>
  <si>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</si>
  <si>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</si>
  <si>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</si>
  <si>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</si>
  <si>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</si>
  <si>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</si>
  <si>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</si>
  <si>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</si>
  <si>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</si>
  <si>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</si>
  <si>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</si>
  <si>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</si>
  <si>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</si>
  <si>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</si>
  <si>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</si>
  <si>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</si>
  <si>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</si>
  <si>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</si>
  <si>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</si>
  <si>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</si>
  <si>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</si>
  <si>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</si>
  <si>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</si>
  <si>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</si>
  <si>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</si>
  <si>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</si>
  <si>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</si>
  <si>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</si>
  <si>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</si>
  <si>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</si>
  <si>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</si>
  <si>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</si>
  <si>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</si>
  <si>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</si>
  <si>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</si>
  <si>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</si>
  <si>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</si>
  <si>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</si>
  <si>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</si>
  <si>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</si>
  <si>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</si>
  <si>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</si>
  <si>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</si>
  <si>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</si>
  <si>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</si>
  <si>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</si>
  <si>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</si>
  <si>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</si>
  <si>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</si>
  <si>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</si>
  <si>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</si>
  <si>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</si>
  <si>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</si>
  <si>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</si>
  <si>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</si>
  <si>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</si>
  <si>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</si>
  <si>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</si>
  <si>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</si>
  <si>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</si>
  <si>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</si>
  <si>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</si>
  <si>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</si>
  <si>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</si>
  <si>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</si>
  <si>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</si>
  <si>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</si>
  <si>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</si>
  <si>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</si>
  <si>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</si>
  <si>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</si>
  <si>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</si>
  <si>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</si>
  <si>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</si>
  <si>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</si>
  <si>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</si>
  <si>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</si>
  <si>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</si>
  <si>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</si>
  <si>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</si>
  <si>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</si>
  <si>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</si>
  <si>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</si>
  <si>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</si>
  <si>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</si>
  <si>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</si>
  <si>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</si>
  <si>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</si>
  <si>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</si>
  <si>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</si>
  <si>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</si>
  <si>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</si>
  <si>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</si>
  <si>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</si>
  <si>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</si>
  <si>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</si>
  <si>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</si>
  <si>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</si>
  <si>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</si>
  <si>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</si>
  <si>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</si>
  <si>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</si>
  <si>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</si>
  <si>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</si>
  <si>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</si>
  <si>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</si>
  <si>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</si>
  <si>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</si>
  <si>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</si>
  <si>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</si>
  <si>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</si>
  <si>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</si>
  <si>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</si>
  <si>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</si>
  <si>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</si>
  <si>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</si>
  <si>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</si>
  <si>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</si>
  <si>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</si>
  <si>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</si>
  <si>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</si>
  <si>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</si>
  <si>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</si>
  <si>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</si>
  <si>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</si>
  <si>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</si>
  <si>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</si>
  <si>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</si>
  <si>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</si>
  <si>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</si>
  <si>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</si>
  <si>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</si>
  <si>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</si>
  <si>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</si>
  <si>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</si>
  <si>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</si>
  <si>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</si>
  <si>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</si>
  <si>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</si>
  <si>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</si>
  <si>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</si>
  <si>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</si>
  <si>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</si>
  <si>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</si>
  <si>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</si>
  <si>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</si>
  <si>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</si>
  <si>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</si>
  <si>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</si>
  <si>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</si>
  <si>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</si>
  <si>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</si>
  <si>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</si>
  <si>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</si>
  <si>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</si>
  <si>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</si>
  <si>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</si>
  <si>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</si>
  <si>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</si>
  <si>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</si>
  <si>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</si>
  <si>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</si>
  <si>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</si>
  <si>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</si>
  <si>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</si>
  <si>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</si>
  <si>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</si>
  <si>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</si>
  <si>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</si>
  <si>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</si>
  <si>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</si>
  <si>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</si>
  <si>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</si>
  <si>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</si>
  <si>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</si>
  <si>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</si>
  <si>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</si>
  <si>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</si>
  <si>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</si>
  <si>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</si>
  <si>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</si>
  <si>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</si>
  <si>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</si>
  <si>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</si>
  <si>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</si>
  <si>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</si>
  <si>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</si>
  <si>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</si>
  <si>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</si>
  <si>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</si>
  <si>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</si>
  <si>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</si>
  <si>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</si>
  <si>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</si>
  <si>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</si>
  <si>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</si>
  <si>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</si>
  <si>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</si>
  <si>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</si>
  <si>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</si>
  <si>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</si>
  <si>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</si>
  <si>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</si>
  <si>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</si>
  <si>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</si>
  <si>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</si>
  <si>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</si>
  <si>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</si>
  <si>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</si>
  <si>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</si>
  <si>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</si>
  <si>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</si>
  <si>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</si>
  <si>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</si>
  <si>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</si>
  <si>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</si>
  <si>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</si>
  <si>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</si>
  <si>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</si>
  <si>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</si>
  <si>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</si>
  <si>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</si>
  <si>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</si>
  <si>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</si>
  <si>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</si>
  <si>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</si>
  <si>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</si>
  <si>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</si>
  <si>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</si>
  <si>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</si>
  <si>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</si>
  <si>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</si>
  <si>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</si>
  <si>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</si>
  <si>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</si>
  <si>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</si>
  <si>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</si>
  <si>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</si>
  <si>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</si>
  <si>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</si>
  <si>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</si>
  <si>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</si>
  <si>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</si>
  <si>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</si>
  <si>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</si>
  <si>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</si>
  <si>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</si>
  <si>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</si>
  <si>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</si>
  <si>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</si>
  <si>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</si>
  <si>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</si>
  <si>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</si>
  <si>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</si>
  <si>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</si>
  <si>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</si>
  <si>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</si>
  <si>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</si>
  <si>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</si>
  <si>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</si>
  <si>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</si>
  <si>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</si>
  <si>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</si>
  <si>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</si>
  <si>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</si>
  <si>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</si>
  <si>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</si>
  <si>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</si>
  <si>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</si>
  <si>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</si>
  <si>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</si>
  <si>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</si>
  <si>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</si>
  <si>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</si>
  <si>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</si>
  <si>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</si>
  <si>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</si>
  <si>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</si>
  <si>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</si>
  <si>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</si>
  <si>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</si>
  <si>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</si>
  <si>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</si>
  <si>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</si>
  <si>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</si>
  <si>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</si>
  <si>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</si>
  <si>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</si>
  <si>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</si>
  <si>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</si>
  <si>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</si>
  <si>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</si>
  <si>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</si>
  <si>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</si>
  <si>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</si>
  <si>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</si>
  <si>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</si>
  <si>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</si>
  <si>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</si>
  <si>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</si>
  <si>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</si>
  <si>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</si>
  <si>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</si>
  <si>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</si>
  <si>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</si>
  <si>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</si>
  <si>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</si>
  <si>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</si>
  <si>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</si>
  <si>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</si>
  <si>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</si>
  <si>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</si>
  <si>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</si>
  <si>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</si>
  <si>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</si>
  <si>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</si>
  <si>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</si>
  <si>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</si>
  <si>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</si>
  <si>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</si>
  <si>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</si>
  <si>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</si>
  <si>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</si>
  <si>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</si>
  <si>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</si>
  <si>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</si>
  <si>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</si>
  <si>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</si>
  <si>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</si>
  <si>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</si>
  <si>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</si>
  <si>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</si>
  <si>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</si>
  <si>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</si>
  <si>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</si>
  <si>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</si>
  <si>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</si>
  <si>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</si>
  <si>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</si>
  <si>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</si>
  <si>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</si>
  <si>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</si>
  <si>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</si>
  <si>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</si>
  <si>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</si>
  <si>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</si>
  <si>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</si>
  <si>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</si>
  <si>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</si>
  <si>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</si>
  <si>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</si>
  <si>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</si>
  <si>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</si>
  <si>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</si>
  <si>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</si>
  <si>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</si>
  <si>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</si>
  <si>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</si>
  <si>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</si>
  <si>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</si>
  <si>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</si>
  <si>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</si>
  <si>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</si>
  <si>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</si>
  <si>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</si>
  <si>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</si>
  <si>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</si>
  <si>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</si>
  <si>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</si>
  <si>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</si>
  <si>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</si>
  <si>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</si>
  <si>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</si>
  <si>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</si>
  <si>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</si>
  <si>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</si>
  <si>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</si>
  <si>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</si>
  <si>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</si>
  <si>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</si>
  <si>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</si>
  <si>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</si>
  <si>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</si>
  <si>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</si>
  <si>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</si>
  <si>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</si>
  <si>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</si>
  <si>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</si>
  <si>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</si>
  <si>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</si>
  <si>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</si>
  <si>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</si>
  <si>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</si>
  <si>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</si>
  <si>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</si>
  <si>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</si>
  <si>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</si>
  <si>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</si>
  <si>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</si>
  <si>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</si>
  <si>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</si>
  <si>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</si>
  <si>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</si>
  <si>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</si>
  <si>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</si>
  <si>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</si>
  <si>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</si>
  <si>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</si>
  <si>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</si>
  <si>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</si>
  <si>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</si>
  <si>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</si>
  <si>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</si>
  <si>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</si>
  <si>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</si>
  <si>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</si>
  <si>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</si>
  <si>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</si>
  <si>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</si>
  <si>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</si>
  <si>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</si>
  <si>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</si>
  <si>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</si>
  <si>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</si>
  <si>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</si>
  <si>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</si>
  <si>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</si>
  <si>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</si>
  <si>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</si>
  <si>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</si>
  <si>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</si>
  <si>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</si>
  <si>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</si>
  <si>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</si>
  <si>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</si>
  <si>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</si>
  <si>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</si>
  <si>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</si>
  <si>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</si>
  <si>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</si>
  <si>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</si>
  <si>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</si>
  <si>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</si>
  <si>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</si>
  <si>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</si>
  <si>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</si>
  <si>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</si>
  <si>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</si>
  <si>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</si>
  <si>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</si>
  <si>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</si>
  <si>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</si>
  <si>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</si>
  <si>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</si>
  <si>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</si>
  <si>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</si>
  <si>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</si>
  <si>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</si>
  <si>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</si>
  <si>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</si>
  <si>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</si>
  <si>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</si>
  <si>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</si>
  <si>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</si>
  <si>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</si>
  <si>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</si>
  <si>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</si>
  <si>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</si>
  <si>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</si>
  <si>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</si>
  <si>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</si>
  <si>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</si>
  <si>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</si>
  <si>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</si>
  <si>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</si>
  <si>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</si>
  <si>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</si>
  <si>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</si>
  <si>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</si>
  <si>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</si>
  <si>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</si>
  <si>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</si>
  <si>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</si>
  <si>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</si>
  <si>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</si>
  <si>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</si>
  <si>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</si>
  <si>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</si>
  <si>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</si>
  <si>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</si>
  <si>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</si>
  <si>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</si>
  <si>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</si>
  <si>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</si>
  <si>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</si>
  <si>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</si>
  <si>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</si>
  <si>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</si>
  <si>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</si>
  <si>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</si>
  <si>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</si>
  <si>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</si>
  <si>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</si>
  <si>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</si>
  <si>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</si>
  <si>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</si>
  <si>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</si>
  <si>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</si>
  <si>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</si>
  <si>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</si>
  <si>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</si>
  <si>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</si>
  <si>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</si>
  <si>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</si>
  <si>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</si>
  <si>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</si>
  <si>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</si>
  <si>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</si>
  <si>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</si>
  <si>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</si>
  <si>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</si>
  <si>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</si>
  <si>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</si>
  <si>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</si>
  <si>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</si>
  <si>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</si>
  <si>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</si>
  <si>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</si>
  <si>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</si>
  <si>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</si>
  <si>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</si>
  <si>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</si>
  <si>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</si>
  <si>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</si>
  <si>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</si>
  <si>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</si>
  <si>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</si>
  <si>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</si>
  <si>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</si>
  <si>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</si>
  <si>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</si>
  <si>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</si>
  <si>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</si>
  <si>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</si>
  <si>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</si>
  <si>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</si>
  <si>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</si>
  <si>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</si>
  <si>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</si>
  <si>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</si>
  <si>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</si>
  <si>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</si>
  <si>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</si>
  <si>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</si>
  <si>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</si>
  <si>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</si>
  <si>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</si>
  <si>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</si>
  <si>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</si>
  <si>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</si>
  <si>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</si>
  <si>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</si>
  <si>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</si>
  <si>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</si>
  <si>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</si>
  <si>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</si>
  <si>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</si>
  <si>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</si>
  <si>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</si>
  <si>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</si>
  <si>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</si>
  <si>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</si>
  <si>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</si>
  <si>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</si>
  <si>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</si>
  <si>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</si>
  <si>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</si>
  <si>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</si>
  <si>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</si>
  <si>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</si>
  <si>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</si>
  <si>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</si>
  <si>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</si>
  <si>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</si>
  <si>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</si>
  <si>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</si>
  <si>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</si>
  <si>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</si>
  <si>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</si>
  <si>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</si>
  <si>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</si>
  <si>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</si>
  <si>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</si>
  <si>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</si>
  <si>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</si>
  <si>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</si>
  <si>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</si>
  <si>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</si>
  <si>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</si>
  <si>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</si>
  <si>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</si>
  <si>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</si>
  <si>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</si>
  <si>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</si>
  <si>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</si>
  <si>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</si>
  <si>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</si>
  <si>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</si>
  <si>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</si>
  <si>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</si>
  <si>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</si>
  <si>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</si>
  <si>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</si>
  <si>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</si>
  <si>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</si>
  <si>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</si>
  <si>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</si>
  <si>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</si>
  <si>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</si>
  <si>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</si>
  <si>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</si>
  <si>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</si>
  <si>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</si>
  <si>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</si>
  <si>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</si>
  <si>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</si>
  <si>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</si>
  <si>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</si>
  <si>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</si>
  <si>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</si>
  <si>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</si>
  <si>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</si>
  <si>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</si>
  <si>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</si>
  <si>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</si>
  <si>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</si>
  <si>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</si>
  <si>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</si>
  <si>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</si>
  <si>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</si>
  <si>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</si>
  <si>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</si>
  <si>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</si>
  <si>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</si>
  <si>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</si>
  <si>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</si>
  <si>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</si>
  <si>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</si>
  <si>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</si>
  <si>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</si>
  <si>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</si>
  <si>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</si>
  <si>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</si>
  <si>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</si>
  <si>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</si>
  <si>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</si>
  <si>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</si>
  <si>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</si>
  <si>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</si>
  <si>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</si>
  <si>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</si>
  <si>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</si>
  <si>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</si>
  <si>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</si>
  <si>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</si>
  <si>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</si>
  <si>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</si>
  <si>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</si>
  <si>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</si>
  <si>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</si>
  <si>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</si>
  <si>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</si>
  <si>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</si>
  <si>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</si>
  <si>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</si>
  <si>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</si>
  <si>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</si>
  <si>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</si>
  <si>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</si>
  <si>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</si>
  <si>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</si>
  <si>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</si>
  <si>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</si>
  <si>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</si>
  <si>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</si>
  <si>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</si>
  <si>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</si>
  <si>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</si>
  <si>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</si>
  <si>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</si>
  <si>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</si>
  <si>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</si>
  <si>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</si>
  <si>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</si>
  <si>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</si>
  <si>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</si>
  <si>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</si>
  <si>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</si>
  <si>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</si>
  <si>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</si>
  <si>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</si>
  <si>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</si>
  <si>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</si>
  <si>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</si>
  <si>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</si>
  <si>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</si>
  <si>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</si>
  <si>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</si>
  <si>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</si>
  <si>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</si>
  <si>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</si>
  <si>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</si>
  <si>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</si>
  <si>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</si>
  <si>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</si>
  <si>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</si>
  <si>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</si>
  <si>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</si>
  <si>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</si>
  <si>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</si>
  <si>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</si>
  <si>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</si>
  <si>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</si>
  <si>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</si>
  <si>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</si>
  <si>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</si>
  <si>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</si>
  <si>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</si>
  <si>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</si>
  <si>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</si>
  <si>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</si>
  <si>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</si>
  <si>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</si>
  <si>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</si>
  <si>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</si>
  <si>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</si>
  <si>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</si>
  <si>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</si>
  <si>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</si>
  <si>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</si>
  <si>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</si>
  <si>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</si>
  <si>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</si>
  <si>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</si>
  <si>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</si>
  <si>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</si>
  <si>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</si>
  <si>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</si>
  <si>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</si>
  <si>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</si>
  <si>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</si>
  <si>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</si>
  <si>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</si>
  <si>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</si>
  <si>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</si>
  <si>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</si>
  <si>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</si>
  <si>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</si>
  <si>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</si>
  <si>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</si>
  <si>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</si>
  <si>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</si>
  <si>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</si>
  <si>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</si>
  <si>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</si>
  <si>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</si>
  <si>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</si>
  <si>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</si>
  <si>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</si>
  <si>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</si>
  <si>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</si>
  <si>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</si>
  <si>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</si>
  <si>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</si>
  <si>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</si>
  <si>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</si>
  <si>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</si>
  <si>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</si>
  <si>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</si>
  <si>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</si>
  <si>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</si>
  <si>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</si>
  <si>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</si>
  <si>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</si>
  <si>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</si>
  <si>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</si>
  <si>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</si>
  <si>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</si>
  <si>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</si>
  <si>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</si>
  <si>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</si>
  <si>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</si>
  <si>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</si>
  <si>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</si>
  <si>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</si>
  <si>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</si>
  <si>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</si>
  <si>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</si>
  <si>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</si>
  <si>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</si>
  <si>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</si>
  <si>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</si>
  <si>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</si>
  <si>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</si>
  <si>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</si>
  <si>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</si>
  <si>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</si>
  <si>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</si>
  <si>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</si>
  <si>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</si>
  <si>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</si>
  <si>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</si>
  <si>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</si>
  <si>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</si>
  <si>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</si>
  <si>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</si>
  <si>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</si>
  <si>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</si>
  <si>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</si>
  <si>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</si>
  <si>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</si>
  <si>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</si>
  <si>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</si>
  <si>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</si>
  <si>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</si>
  <si>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</si>
  <si>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</si>
  <si>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</si>
  <si>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</si>
  <si>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</si>
  <si>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</si>
  <si>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</si>
  <si>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</si>
  <si>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</si>
  <si>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</si>
  <si>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</si>
  <si>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</si>
  <si>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</si>
  <si>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</si>
  <si>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</si>
  <si>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</si>
  <si>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</si>
  <si>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</si>
  <si>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</si>
  <si>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</si>
  <si>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</si>
  <si>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</si>
  <si>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</si>
  <si>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</si>
  <si>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</si>
  <si>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</si>
  <si>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</si>
  <si>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</si>
  <si>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</si>
  <si>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</si>
  <si>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</si>
  <si>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</si>
  <si>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</si>
  <si>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</si>
  <si>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</si>
  <si>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</si>
  <si>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</si>
  <si>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</si>
  <si>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</si>
  <si>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</si>
  <si>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</si>
  <si>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</si>
  <si>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</si>
  <si>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</si>
  <si>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</si>
  <si>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</si>
  <si>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</si>
  <si>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</si>
  <si>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</si>
  <si>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</si>
  <si>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</si>
  <si>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</si>
  <si>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</si>
  <si>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</si>
  <si>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</si>
  <si>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</si>
  <si>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</si>
  <si>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</si>
  <si>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</si>
  <si>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</si>
  <si>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</si>
  <si>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</si>
  <si>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</si>
  <si>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</si>
  <si>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</si>
  <si>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</si>
  <si>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</si>
  <si>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</si>
  <si>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</si>
  <si>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</si>
  <si>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</si>
  <si>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</si>
  <si>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</si>
  <si>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</si>
  <si>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</si>
  <si>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</si>
  <si>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</si>
  <si>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</si>
  <si>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</si>
  <si>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</si>
  <si>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</si>
  <si>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</si>
  <si>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</si>
  <si>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</si>
  <si>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</si>
  <si>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</si>
  <si>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</si>
  <si>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</si>
  <si>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</si>
  <si>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</si>
  <si>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</si>
  <si>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</si>
  <si>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</si>
  <si>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</si>
  <si>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</si>
  <si>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</si>
  <si>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</si>
  <si>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</si>
  <si>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</si>
  <si>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</si>
  <si>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</si>
  <si>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</si>
  <si>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</si>
  <si>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</si>
  <si>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</si>
  <si>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</si>
  <si>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</si>
  <si>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</si>
  <si>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</si>
  <si>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</si>
  <si>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</si>
  <si>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</si>
  <si>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</si>
  <si>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</si>
  <si>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</si>
  <si>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</si>
  <si>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</si>
  <si>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</si>
  <si>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</si>
  <si>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</si>
  <si>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</si>
  <si>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</si>
  <si>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</si>
  <si>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</si>
  <si>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</si>
  <si>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</si>
  <si>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</si>
  <si>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</si>
  <si>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</si>
  <si>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</si>
  <si>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</si>
  <si>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</si>
  <si>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</si>
  <si>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</si>
  <si>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</si>
  <si>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</si>
  <si>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</si>
  <si>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</si>
  <si>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</si>
  <si>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</si>
  <si>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</si>
  <si>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</si>
  <si>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</si>
  <si>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</si>
  <si>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</si>
  <si>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</si>
  <si>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</si>
  <si>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</si>
  <si>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</si>
  <si>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</si>
  <si>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</si>
  <si>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</si>
  <si>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</si>
  <si>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</si>
  <si>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</si>
  <si>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</si>
  <si>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</si>
  <si>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</si>
  <si>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</si>
  <si>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</si>
  <si>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</si>
  <si>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</si>
  <si>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</si>
  <si>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</si>
  <si>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</si>
  <si>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</si>
  <si>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</si>
  <si>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</si>
  <si>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</si>
  <si>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</si>
  <si>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</si>
  <si>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</si>
  <si>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</si>
  <si>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</si>
  <si>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</si>
  <si>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</si>
  <si>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</si>
  <si>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</si>
  <si>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</si>
  <si>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</si>
  <si>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</si>
  <si>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</si>
  <si>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</si>
  <si>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</si>
  <si>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</si>
  <si>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</si>
  <si>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</si>
  <si>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</si>
  <si>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</si>
  <si>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</si>
  <si>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</si>
  <si>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</si>
  <si>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</si>
  <si>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</si>
  <si>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</si>
  <si>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</si>
  <si>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</si>
  <si>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</si>
  <si>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</si>
  <si>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</si>
  <si>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</si>
  <si>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</si>
  <si>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</si>
  <si>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</si>
  <si>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</si>
  <si>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</si>
  <si>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</si>
  <si>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</si>
  <si>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</si>
  <si>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</si>
  <si>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</si>
  <si>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</si>
  <si>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</si>
  <si>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</si>
  <si>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</si>
  <si>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</si>
  <si>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</si>
  <si>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</si>
  <si>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</si>
  <si>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</si>
  <si>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</si>
  <si>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</si>
  <si>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</si>
  <si>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</si>
  <si>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</si>
  <si>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</si>
  <si>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</si>
  <si>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</si>
  <si>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</si>
  <si>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</si>
  <si>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</si>
  <si>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</si>
  <si>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</si>
  <si>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</si>
  <si>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</si>
  <si>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</si>
  <si>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</si>
  <si>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</si>
  <si>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</si>
  <si>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</si>
  <si>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</si>
  <si>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</si>
  <si>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</si>
  <si>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</si>
  <si>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</si>
  <si>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</si>
  <si>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</si>
  <si>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</si>
  <si>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</si>
  <si>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</si>
  <si>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</si>
  <si>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</si>
  <si>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</si>
  <si>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</si>
  <si>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</si>
  <si>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</si>
  <si>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</si>
  <si>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</si>
  <si>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</si>
  <si>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</si>
  <si>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</si>
  <si>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</si>
  <si>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</si>
  <si>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</si>
  <si>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</si>
  <si>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</si>
  <si>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</si>
  <si>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</si>
  <si>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</si>
  <si>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</si>
  <si>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</si>
  <si>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</si>
  <si>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</si>
  <si>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</si>
  <si>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</si>
  <si>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</si>
  <si>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</si>
  <si>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</si>
  <si>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</si>
  <si>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</si>
  <si>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</si>
  <si>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</si>
  <si>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</si>
  <si>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</si>
  <si>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</si>
  <si>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</si>
  <si>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</si>
  <si>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</si>
  <si>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</si>
  <si>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</si>
  <si>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</si>
  <si>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</si>
  <si>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</si>
  <si>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</si>
  <si>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</si>
  <si>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</si>
  <si>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</si>
  <si>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</si>
  <si>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</si>
  <si>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</si>
  <si>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</si>
  <si>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</si>
  <si>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</si>
  <si>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</si>
  <si>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</si>
  <si>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</si>
  <si>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</si>
  <si>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</si>
  <si>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</si>
  <si>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</si>
  <si>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</si>
  <si>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</si>
  <si>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</si>
  <si>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</si>
  <si>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</si>
  <si>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</si>
  <si>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</si>
  <si>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</si>
  <si>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</si>
  <si>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</si>
  <si>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</si>
  <si>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</si>
  <si>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</si>
  <si>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</si>
  <si>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</si>
  <si>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</si>
  <si>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</si>
  <si>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</si>
  <si>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</si>
  <si>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</si>
  <si>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</si>
  <si>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</si>
  <si>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</si>
  <si>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</si>
  <si>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</si>
  <si>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</si>
  <si>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</si>
  <si>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</si>
  <si>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</si>
  <si>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</si>
  <si>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</si>
  <si>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</si>
  <si>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</si>
  <si>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</si>
  <si>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</si>
  <si>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</si>
  <si>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</si>
  <si>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</si>
  <si>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</si>
  <si>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</si>
  <si>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</si>
  <si>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</si>
  <si>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</si>
  <si>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</si>
  <si>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</si>
  <si>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</si>
  <si>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</si>
  <si>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</si>
  <si>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</si>
  <si>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</si>
  <si>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</si>
  <si>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</si>
  <si>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</si>
  <si>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</si>
  <si>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</si>
  <si>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</si>
  <si>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</si>
  <si>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</si>
  <si>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</si>
  <si>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</si>
  <si>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</si>
  <si>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</si>
  <si>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</si>
  <si>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</si>
  <si>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</si>
  <si>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</si>
  <si>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</si>
  <si>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</si>
  <si>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</si>
  <si>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</si>
  <si>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</si>
  <si>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</si>
  <si>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</si>
  <si>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</si>
  <si>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</si>
  <si>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</si>
  <si>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</si>
  <si>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</si>
  <si>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</si>
  <si>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</si>
  <si>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</si>
  <si>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</si>
  <si>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</si>
  <si>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</si>
  <si>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</si>
  <si>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</si>
  <si>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</si>
  <si>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</si>
  <si>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</si>
  <si>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</si>
  <si>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</si>
  <si>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</si>
  <si>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</si>
  <si>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</si>
  <si>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</si>
  <si>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</si>
  <si>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</si>
  <si>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</si>
  <si>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</si>
  <si>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</si>
  <si>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</si>
  <si>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</si>
  <si>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</si>
  <si>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</si>
  <si>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</si>
  <si>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</si>
  <si>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</si>
  <si>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</si>
  <si>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</si>
  <si>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</si>
  <si>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</si>
  <si>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</si>
  <si>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</si>
  <si>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</si>
  <si>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</si>
  <si>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</si>
  <si>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</si>
  <si>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</si>
  <si>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</si>
  <si>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</si>
  <si>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</si>
  <si>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</si>
  <si>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</si>
  <si>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</si>
  <si>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</si>
  <si>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</si>
  <si>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</si>
  <si>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</si>
  <si>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</si>
  <si>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</si>
  <si>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</si>
  <si>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</si>
  <si>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</si>
  <si>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</si>
  <si>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</si>
  <si>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</si>
  <si>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</si>
  <si>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</si>
  <si>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</si>
  <si>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</si>
  <si>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</si>
  <si>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</si>
  <si>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</si>
  <si>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</si>
  <si>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</si>
  <si>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</si>
  <si>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</si>
  <si>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</si>
  <si>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</si>
  <si>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</si>
  <si>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</si>
  <si>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</si>
  <si>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</si>
  <si>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</si>
  <si>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</si>
  <si>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</si>
  <si>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</si>
  <si>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</si>
  <si>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</si>
  <si>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</si>
  <si>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</si>
  <si>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</si>
  <si>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</si>
  <si>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</si>
  <si>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</si>
  <si>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</si>
  <si>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</si>
  <si>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</si>
  <si>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</si>
  <si>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</si>
  <si>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</si>
  <si>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</si>
  <si>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</si>
  <si>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</si>
  <si>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</si>
  <si>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</si>
  <si>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</si>
  <si>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</si>
  <si>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</si>
  <si>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</si>
  <si>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</si>
  <si>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</si>
  <si>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</si>
  <si>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</si>
  <si>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</si>
  <si>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</si>
  <si>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</si>
  <si>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</si>
  <si>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</si>
  <si>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</si>
  <si>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</si>
  <si>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</si>
  <si>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</si>
  <si>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</si>
  <si>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</si>
  <si>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</si>
  <si>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</si>
  <si>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</si>
  <si>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</si>
  <si>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</si>
  <si>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</si>
  <si>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</si>
  <si>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</si>
  <si>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</si>
  <si>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</si>
  <si>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</si>
  <si>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</si>
  <si>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</si>
  <si>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</si>
  <si>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</si>
  <si>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</si>
  <si>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</si>
  <si>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</si>
  <si>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</si>
  <si>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</si>
  <si>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</si>
  <si>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</si>
  <si>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</si>
  <si>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</si>
  <si>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</si>
  <si>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</si>
  <si>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</si>
  <si>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</si>
  <si>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</si>
  <si>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</si>
  <si>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</si>
  <si>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</si>
  <si>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</si>
  <si>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</si>
  <si>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</si>
  <si>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</si>
  <si>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</si>
  <si>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</si>
  <si>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</si>
  <si>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</si>
  <si>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</si>
  <si>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</si>
  <si>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</si>
  <si>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</si>
  <si>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</si>
  <si>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</si>
  <si>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</si>
  <si>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</si>
  <si>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</si>
  <si>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</si>
  <si>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</si>
  <si>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</si>
  <si>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</si>
  <si>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</si>
  <si>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</si>
  <si>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</si>
  <si>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</si>
  <si>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</si>
  <si>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</si>
  <si>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</si>
  <si>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</si>
  <si>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</si>
  <si>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</si>
  <si>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</si>
  <si>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</si>
  <si>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</si>
  <si>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</si>
  <si>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</si>
  <si>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</si>
  <si>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</si>
  <si>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</si>
  <si>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</si>
  <si>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</si>
  <si>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</si>
  <si>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</si>
  <si>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</si>
  <si>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</si>
  <si>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</si>
  <si>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</si>
  <si>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</si>
  <si>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</si>
  <si>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</si>
  <si>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</si>
  <si>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</si>
  <si>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</si>
  <si>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</si>
  <si>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</si>
  <si>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</si>
  <si>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</si>
  <si>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</si>
  <si>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</si>
  <si>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</si>
  <si>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</si>
  <si>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</si>
  <si>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</si>
  <si>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</si>
  <si>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</si>
  <si>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</si>
  <si>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</si>
  <si>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</si>
  <si>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</si>
  <si>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</si>
  <si>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</si>
  <si>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</si>
  <si>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</si>
  <si>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</si>
  <si>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</si>
  <si>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</si>
  <si>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</si>
  <si>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</si>
  <si>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</si>
  <si>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</si>
  <si>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</si>
  <si>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</si>
  <si>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</si>
  <si>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</si>
  <si>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</si>
  <si>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</si>
  <si>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</si>
  <si>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</si>
  <si>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</si>
  <si>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</si>
  <si>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</si>
  <si>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</si>
  <si>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</si>
  <si>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</si>
  <si>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</si>
  <si>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</si>
  <si>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</si>
  <si>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</si>
  <si>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</si>
  <si>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</si>
  <si>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</si>
  <si>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</si>
  <si>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</si>
  <si>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</si>
  <si>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</si>
  <si>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</si>
  <si>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</si>
  <si>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</si>
  <si>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</si>
  <si>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</si>
  <si>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</si>
  <si>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</si>
  <si>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</si>
  <si>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</si>
  <si>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</si>
  <si>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</si>
  <si>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</si>
  <si>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</si>
  <si>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</si>
  <si>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</si>
  <si>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</si>
  <si>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</si>
  <si>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</si>
  <si>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</si>
  <si>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</si>
  <si>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</si>
  <si>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</si>
  <si>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</si>
  <si>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</si>
  <si>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</si>
  <si>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</si>
  <si>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</si>
  <si>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</si>
  <si>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</si>
  <si>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</si>
  <si>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</si>
  <si>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</si>
  <si>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</si>
  <si>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</si>
  <si>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</si>
  <si>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</si>
  <si>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</si>
  <si>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</si>
  <si>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</si>
  <si>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</si>
  <si>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</si>
  <si>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</si>
  <si>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</si>
  <si>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</si>
  <si>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</si>
  <si>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</si>
  <si>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</si>
  <si>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</si>
  <si>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</si>
  <si>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</si>
  <si>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</si>
  <si>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</si>
  <si>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</si>
  <si>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</si>
  <si>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</si>
  <si>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</si>
  <si>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</si>
  <si>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</si>
  <si>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</si>
  <si>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</si>
  <si>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</si>
  <si>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</si>
  <si>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</si>
  <si>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</si>
  <si>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</si>
  <si>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</si>
  <si>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</si>
  <si>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</si>
  <si>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</si>
  <si>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</si>
  <si>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</si>
  <si>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</si>
  <si>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</si>
  <si>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</si>
  <si>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</si>
  <si>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</si>
  <si>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</si>
  <si>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</si>
  <si>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</si>
  <si>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</si>
  <si>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</si>
  <si>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</si>
  <si>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</si>
  <si>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</si>
  <si>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</si>
  <si>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</si>
  <si>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</si>
  <si>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</si>
  <si>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</si>
  <si>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</si>
  <si>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</si>
  <si>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</si>
  <si>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</si>
  <si>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</si>
  <si>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</si>
  <si>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</si>
  <si>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</si>
  <si>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</si>
  <si>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</si>
  <si>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</si>
  <si>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</si>
  <si>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</si>
  <si>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</si>
  <si>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</si>
  <si>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</si>
  <si>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</si>
  <si>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</si>
  <si>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</si>
  <si>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</si>
  <si>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</si>
  <si>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</si>
  <si>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</si>
  <si>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</si>
  <si>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</si>
  <si>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</si>
  <si>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</si>
  <si>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</si>
  <si>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</si>
  <si>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</si>
  <si>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</si>
  <si>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</si>
  <si>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</si>
  <si>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</si>
  <si>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</si>
  <si>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</si>
  <si>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</si>
  <si>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</si>
  <si>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</si>
  <si>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</si>
  <si>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</si>
  <si>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</si>
  <si>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</si>
  <si>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</si>
  <si>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</si>
  <si>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</si>
  <si>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</si>
  <si>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</si>
  <si>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</si>
  <si>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</si>
  <si>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</si>
  <si>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</si>
  <si>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</si>
  <si>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</si>
  <si>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</si>
  <si>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</si>
  <si>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</si>
  <si>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</si>
  <si>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</si>
  <si>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</si>
  <si>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</si>
  <si>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</si>
  <si>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</si>
  <si>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</si>
  <si>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</si>
  <si>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</si>
  <si>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</si>
  <si>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</si>
  <si>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</si>
  <si>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</si>
  <si>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</si>
  <si>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</si>
  <si>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</si>
  <si>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</si>
  <si>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</si>
  <si>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</si>
  <si>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</si>
  <si>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</si>
  <si>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</si>
  <si>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</si>
  <si>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</si>
  <si>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</si>
  <si>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</si>
  <si>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</si>
  <si>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</si>
  <si>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</si>
  <si>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</si>
  <si>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</si>
  <si>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</si>
  <si>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</si>
  <si>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</si>
  <si>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</si>
  <si>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</si>
  <si>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</si>
  <si>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</si>
  <si>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</si>
  <si>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</si>
  <si>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</si>
  <si>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</si>
  <si>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</si>
  <si>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</si>
  <si>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</si>
  <si>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</si>
  <si>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</si>
  <si>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</si>
  <si>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</si>
  <si>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</si>
  <si>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</si>
  <si>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</si>
  <si>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</si>
  <si>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</si>
  <si>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</si>
  <si>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</si>
  <si>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</si>
  <si>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</si>
  <si>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</si>
  <si>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</si>
  <si>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</si>
  <si>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</si>
  <si>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</si>
  <si>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</si>
  <si>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</si>
  <si>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</si>
  <si>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</si>
  <si>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</si>
  <si>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</si>
  <si>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</si>
  <si>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</si>
  <si>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</si>
  <si>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</si>
  <si>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</si>
  <si>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</si>
  <si>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</si>
  <si>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</si>
  <si>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</si>
  <si>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</si>
  <si>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</si>
  <si>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</si>
  <si>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</si>
  <si>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</si>
  <si>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</si>
  <si>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</si>
  <si>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</si>
  <si>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</si>
  <si>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</si>
  <si>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</si>
  <si>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</si>
  <si>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</si>
  <si>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</si>
  <si>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</si>
  <si>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</si>
  <si>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</si>
  <si>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</si>
  <si>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</si>
  <si>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</si>
  <si>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</si>
  <si>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</si>
  <si>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</si>
  <si>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</si>
  <si>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</si>
  <si>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</si>
  <si>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</si>
  <si>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</si>
  <si>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</si>
  <si>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</si>
  <si>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</si>
  <si>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</si>
  <si>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</si>
  <si>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</si>
  <si>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</si>
  <si>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</si>
  <si>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</si>
  <si>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</si>
  <si>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</si>
  <si>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</si>
  <si>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</si>
  <si>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</si>
  <si>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</si>
  <si>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</si>
  <si>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</si>
  <si>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</si>
  <si>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</si>
  <si>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</si>
  <si>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</si>
  <si>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</si>
  <si>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</si>
  <si>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</si>
  <si>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</si>
  <si>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</si>
  <si>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</si>
  <si>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</si>
  <si>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</si>
  <si>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</si>
  <si>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</si>
  <si>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</si>
  <si>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</si>
  <si>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</si>
  <si>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</si>
  <si>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</si>
  <si>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</si>
  <si>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</si>
  <si>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</si>
  <si>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</si>
  <si>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</si>
  <si>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</si>
  <si>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</si>
  <si>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</si>
  <si>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</si>
  <si>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</si>
  <si>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</si>
  <si>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</si>
  <si>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</si>
  <si>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</si>
  <si>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</si>
  <si>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</si>
  <si>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</si>
  <si>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</si>
  <si>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</si>
  <si>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</si>
  <si>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</si>
  <si>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</si>
  <si>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</si>
  <si>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</si>
  <si>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</si>
  <si>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</si>
  <si>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</si>
  <si>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</si>
  <si>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</si>
  <si>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</si>
  <si>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</si>
  <si>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</si>
  <si>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</si>
  <si>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</si>
  <si>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</si>
  <si>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</si>
  <si>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</si>
  <si>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</si>
  <si>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</si>
  <si>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</si>
  <si>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</si>
  <si>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</si>
  <si>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</si>
  <si>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</si>
  <si>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</si>
  <si>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</si>
  <si>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</si>
  <si>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</si>
  <si>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</si>
  <si>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</si>
  <si>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</si>
  <si>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</si>
  <si>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</si>
  <si>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</si>
  <si>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</si>
  <si>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</si>
  <si>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</si>
  <si>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</si>
  <si>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</si>
  <si>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</si>
  <si>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</si>
  <si>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</si>
  <si>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</si>
  <si>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</si>
  <si>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</si>
  <si>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</si>
  <si>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</si>
  <si>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</si>
  <si>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</si>
  <si>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</si>
  <si>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</si>
  <si>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</si>
  <si>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</si>
  <si>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</si>
  <si>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</si>
  <si>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</si>
  <si>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</si>
  <si>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</si>
  <si>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</si>
  <si>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</si>
  <si>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</si>
  <si>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</si>
  <si>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</si>
  <si>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</si>
  <si>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</si>
  <si>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</si>
  <si>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</si>
  <si>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</si>
  <si>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</si>
  <si>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</si>
  <si>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</si>
  <si>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</si>
  <si>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</si>
  <si>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</si>
  <si>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</si>
  <si>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</si>
  <si>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</si>
  <si>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</si>
  <si>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</si>
  <si>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</si>
  <si>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</si>
  <si>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</si>
  <si>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</si>
  <si>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</si>
  <si>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</si>
  <si>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</si>
  <si>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</si>
  <si>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</si>
  <si>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</si>
  <si>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</si>
  <si>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</si>
  <si>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</si>
  <si>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</si>
  <si>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</si>
  <si>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</si>
  <si>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</si>
  <si>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</si>
  <si>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</si>
  <si>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</si>
  <si>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</si>
  <si>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</si>
  <si>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</si>
  <si>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</si>
  <si>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</si>
  <si>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</si>
  <si>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</si>
  <si>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</si>
  <si>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</si>
  <si>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</si>
  <si>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</si>
  <si>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</si>
  <si>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</si>
  <si>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</si>
  <si>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</si>
  <si>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</si>
  <si>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</si>
  <si>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</si>
  <si>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</si>
  <si>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</si>
  <si>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</si>
  <si>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</si>
  <si>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</si>
  <si>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</si>
  <si>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</si>
  <si>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</si>
  <si>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</si>
  <si>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</si>
  <si>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</si>
  <si>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</si>
  <si>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</si>
  <si>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</si>
  <si>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</si>
  <si>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</si>
  <si>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</si>
  <si>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</si>
  <si>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</si>
  <si>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</si>
  <si>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</si>
  <si>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</si>
  <si>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</si>
  <si>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</si>
  <si>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</si>
  <si>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</si>
  <si>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</si>
  <si>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</si>
  <si>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</si>
  <si>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</si>
  <si>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</si>
  <si>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</si>
  <si>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</si>
  <si>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</si>
  <si>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</si>
  <si>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</si>
  <si>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</si>
  <si>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</si>
  <si>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</si>
  <si>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</si>
  <si>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</si>
  <si>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</si>
  <si>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</si>
  <si>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</si>
  <si>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</si>
  <si>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</si>
  <si>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</si>
  <si>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</si>
  <si>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</si>
  <si>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</si>
  <si>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</si>
  <si>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</si>
  <si>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</si>
  <si>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</si>
  <si>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</si>
  <si>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</si>
  <si>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</si>
  <si>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</si>
  <si>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</si>
  <si>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</si>
  <si>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</si>
  <si>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</si>
  <si>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</si>
  <si>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</si>
  <si>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</si>
  <si>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</si>
  <si>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</si>
  <si>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</si>
  <si>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</si>
  <si>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</si>
  <si>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</si>
  <si>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</si>
  <si>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</si>
  <si>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</si>
  <si>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</si>
  <si>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</si>
  <si>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</si>
  <si>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</si>
  <si>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</si>
  <si>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</si>
  <si>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</si>
  <si>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</si>
  <si>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</si>
  <si>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</si>
  <si>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</si>
  <si>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</si>
  <si>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</si>
  <si>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</si>
  <si>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</si>
  <si>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</si>
  <si>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</si>
  <si>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</si>
  <si>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</si>
  <si>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</si>
  <si>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</si>
  <si>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</si>
  <si>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</si>
  <si>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</si>
  <si>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</si>
  <si>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</si>
  <si>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</si>
  <si>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</si>
  <si>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</si>
  <si>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</si>
  <si>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</si>
  <si>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</si>
  <si>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</si>
  <si>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</si>
  <si>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</si>
  <si>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</si>
  <si>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</si>
  <si>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</si>
  <si>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</si>
  <si>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</si>
  <si>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</si>
  <si>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</si>
  <si>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</si>
  <si>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</si>
  <si>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</si>
  <si>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</si>
  <si>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</si>
  <si>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</si>
  <si>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</si>
  <si>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</si>
  <si>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</si>
  <si>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</si>
  <si>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</si>
  <si>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</si>
  <si>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</si>
  <si>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</si>
  <si>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</si>
  <si>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</si>
  <si>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</si>
  <si>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</si>
  <si>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</si>
  <si>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</si>
  <si>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</si>
  <si>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</si>
  <si>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</si>
  <si>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</si>
  <si>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</si>
  <si>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</si>
  <si>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</si>
  <si>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</si>
  <si>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</si>
  <si>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</si>
  <si>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</si>
  <si>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</si>
  <si>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</si>
  <si>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</si>
  <si>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</si>
  <si>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</si>
  <si>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</si>
  <si>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</si>
  <si>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</si>
  <si>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</si>
  <si>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</si>
  <si>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</si>
  <si>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</si>
  <si>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</si>
  <si>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</si>
  <si>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</si>
  <si>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</si>
  <si>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</si>
  <si>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</si>
  <si>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</si>
  <si>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</si>
  <si>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</si>
  <si>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</si>
  <si>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</si>
  <si>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</si>
  <si>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</si>
  <si>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</si>
  <si>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</si>
  <si>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</si>
  <si>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</si>
  <si>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</si>
  <si>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</si>
  <si>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</si>
  <si>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</si>
  <si>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</si>
  <si>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</si>
  <si>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</si>
  <si>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</si>
  <si>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</si>
  <si>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</si>
  <si>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</si>
  <si>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</si>
  <si>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</si>
  <si>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</si>
  <si>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</si>
  <si>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</si>
  <si>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</si>
  <si>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</si>
  <si>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</si>
  <si>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</si>
  <si>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</si>
  <si>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</si>
  <si>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</si>
  <si>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</si>
  <si>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</si>
  <si>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</si>
  <si>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</si>
  <si>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</si>
  <si>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</si>
  <si>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</si>
  <si>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</si>
  <si>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</si>
  <si>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</si>
  <si>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</si>
  <si>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</si>
  <si>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</si>
  <si>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</si>
  <si>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</si>
  <si>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</si>
  <si>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</si>
  <si>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</si>
  <si>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</si>
  <si>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</si>
  <si>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</si>
  <si>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</si>
  <si>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</si>
  <si>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</si>
  <si>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</si>
  <si>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</si>
  <si>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</si>
  <si>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</si>
  <si>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</si>
  <si>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</si>
  <si>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</si>
  <si>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</si>
  <si>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</si>
  <si>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</si>
  <si>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</si>
  <si>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</si>
  <si>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</si>
  <si>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</si>
  <si>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</si>
  <si>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</si>
  <si>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</si>
  <si>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</si>
  <si>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</si>
  <si>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</si>
  <si>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</si>
  <si>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</si>
  <si>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</si>
  <si>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</si>
  <si>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</si>
  <si>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</si>
  <si>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</si>
  <si>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</si>
  <si>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</si>
  <si>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</si>
  <si>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</si>
  <si>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</si>
  <si>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</si>
  <si>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</si>
  <si>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</si>
  <si>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</si>
  <si>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</si>
  <si>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</si>
  <si>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</si>
  <si>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</si>
  <si>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</si>
  <si>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</si>
  <si>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</si>
  <si>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</si>
  <si>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</si>
  <si>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</si>
  <si>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</si>
  <si>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</si>
  <si>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</si>
  <si>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</si>
  <si>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</si>
  <si>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</si>
  <si>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</si>
  <si>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</si>
  <si>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</si>
  <si>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</si>
  <si>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</si>
  <si>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</si>
  <si>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</si>
  <si>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</si>
  <si>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</si>
  <si>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</si>
  <si>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</si>
  <si>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</si>
  <si>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</si>
  <si>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</si>
  <si>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</si>
  <si>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</si>
  <si>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</si>
  <si>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</si>
  <si>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</si>
  <si>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</si>
  <si>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</si>
  <si>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</si>
  <si>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</si>
  <si>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</si>
  <si>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</si>
  <si>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</si>
  <si>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</si>
  <si>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</si>
  <si>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</si>
  <si>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</si>
  <si>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</si>
  <si>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</si>
  <si>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</si>
  <si>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</si>
  <si>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</si>
  <si>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</si>
  <si>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</si>
  <si>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</si>
  <si>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</si>
  <si>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</si>
  <si>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</si>
  <si>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</si>
  <si>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</si>
  <si>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</si>
  <si>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</si>
  <si>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</si>
  <si>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</si>
  <si>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</si>
  <si>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</si>
  <si>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</si>
  <si>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</si>
  <si>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</si>
  <si>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</si>
  <si>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</si>
  <si>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</si>
  <si>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</si>
  <si>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</si>
  <si>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</si>
  <si>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</si>
  <si>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</si>
  <si>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</si>
  <si>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</si>
  <si>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</si>
  <si>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</si>
  <si>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</si>
  <si>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</si>
  <si>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</si>
  <si>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</si>
  <si>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</si>
  <si>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</si>
  <si>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</si>
  <si>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</si>
  <si>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</si>
  <si>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</si>
  <si>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</si>
  <si>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</si>
  <si>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</si>
  <si>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</si>
  <si>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</si>
  <si>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</si>
  <si>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</si>
  <si>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</si>
  <si>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</si>
  <si>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</si>
  <si>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</si>
  <si>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</si>
  <si>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</si>
  <si>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</si>
  <si>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</si>
  <si>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</si>
  <si>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</si>
  <si>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</si>
  <si>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</si>
  <si>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</si>
  <si>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</si>
  <si>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</si>
  <si>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</si>
  <si>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</si>
  <si>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</si>
  <si>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</si>
  <si>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</si>
  <si>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</si>
  <si>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</si>
  <si>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</si>
  <si>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</si>
  <si>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</si>
  <si>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</si>
  <si>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</si>
  <si>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</si>
  <si>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</si>
  <si>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</si>
  <si>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</si>
  <si>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</si>
  <si>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</si>
  <si>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</si>
  <si>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</si>
  <si>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</si>
  <si>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</si>
  <si>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</si>
  <si>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</si>
  <si>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</si>
  <si>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</si>
  <si>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</si>
  <si>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</si>
  <si>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</si>
  <si>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</si>
  <si>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</si>
  <si>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</si>
  <si>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</si>
  <si>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</si>
  <si>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</si>
  <si>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</si>
  <si>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</si>
  <si>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</si>
  <si>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</si>
  <si>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</si>
  <si>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</si>
  <si>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</si>
  <si>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</si>
  <si>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</si>
  <si>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</si>
  <si>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</si>
  <si>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</si>
  <si>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</si>
  <si>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</si>
  <si>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</si>
  <si>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</si>
  <si>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</si>
  <si>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</si>
  <si>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</si>
  <si>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</si>
  <si>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</si>
  <si>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</si>
  <si>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</si>
  <si>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</si>
  <si>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</si>
  <si>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</si>
  <si>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</si>
  <si>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</si>
  <si>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</si>
  <si>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</si>
  <si>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</si>
  <si>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</si>
  <si>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</si>
  <si>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</si>
  <si>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</si>
  <si>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</si>
  <si>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</si>
  <si>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</si>
  <si>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</si>
  <si>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</si>
  <si>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</si>
  <si>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</si>
  <si>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</si>
  <si>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</si>
  <si>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</si>
  <si>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</si>
  <si>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</si>
  <si>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</si>
  <si>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</si>
  <si>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</si>
  <si>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</si>
  <si>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</si>
  <si>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</si>
  <si>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</si>
  <si>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</si>
  <si>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</si>
  <si>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</si>
  <si>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</si>
  <si>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</si>
  <si>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</si>
  <si>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</si>
  <si>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</si>
  <si>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</si>
  <si>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</si>
  <si>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</si>
  <si>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</si>
  <si>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</si>
  <si>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</si>
  <si>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</si>
  <si>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</si>
  <si>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</si>
  <si>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</si>
  <si>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</si>
  <si>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</si>
  <si>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</si>
  <si>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</si>
  <si>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</si>
  <si>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</si>
  <si>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</si>
  <si>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</si>
  <si>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</si>
  <si>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</si>
  <si>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</si>
  <si>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</si>
  <si>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</si>
  <si>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</si>
  <si>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</si>
  <si>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</si>
  <si>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</si>
  <si>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</si>
  <si>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</si>
  <si>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</si>
  <si>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</si>
  <si>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</si>
  <si>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</si>
  <si>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</si>
  <si>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</si>
  <si>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</si>
  <si>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</si>
  <si>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</si>
  <si>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</si>
  <si>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</si>
  <si>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</si>
  <si>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</si>
  <si>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</si>
  <si>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</si>
  <si>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</si>
  <si>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</si>
  <si>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</si>
  <si>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</si>
  <si>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</si>
  <si>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</si>
  <si>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</si>
  <si>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</si>
  <si>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</si>
  <si>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</si>
  <si>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</si>
  <si>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</si>
  <si>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</si>
  <si>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</si>
  <si>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</si>
  <si>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</si>
  <si>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</si>
  <si>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</si>
  <si>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</si>
  <si>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</si>
  <si>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</si>
  <si>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</si>
  <si>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</si>
  <si>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</si>
  <si>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</si>
  <si>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</si>
  <si>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</si>
  <si>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</si>
  <si>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</si>
  <si>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</si>
  <si>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</si>
  <si>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</si>
  <si>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</si>
  <si>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</si>
  <si>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</si>
  <si>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</si>
  <si>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</si>
  <si>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</si>
  <si>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</si>
  <si>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</si>
  <si>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</si>
  <si>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</si>
  <si>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</si>
  <si>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</si>
  <si>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</si>
  <si>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</si>
  <si>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</si>
  <si>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</si>
  <si>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</si>
  <si>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</si>
  <si>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</si>
  <si>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</si>
  <si>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</si>
  <si>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</si>
  <si>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</si>
  <si>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</si>
  <si>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</si>
  <si>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</si>
  <si>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</si>
  <si>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</si>
  <si>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</si>
  <si>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</si>
  <si>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</si>
  <si>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</si>
  <si>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</si>
  <si>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</si>
  <si>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</si>
  <si>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</si>
  <si>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</si>
  <si>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</si>
  <si>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</si>
  <si>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</si>
  <si>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</si>
  <si>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</si>
  <si>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</si>
  <si>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</si>
  <si>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</si>
  <si>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</si>
  <si>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</si>
  <si>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</si>
  <si>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</si>
  <si>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</si>
  <si>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</si>
  <si>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</si>
  <si>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</si>
  <si>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</si>
  <si>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</si>
  <si>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</si>
  <si>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</si>
  <si>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</si>
  <si>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</si>
  <si>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</si>
  <si>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</si>
  <si>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</si>
  <si>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</si>
  <si>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</si>
  <si>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</si>
  <si>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</si>
  <si>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</si>
  <si>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</si>
  <si>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</si>
  <si>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</si>
  <si>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</si>
  <si>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</si>
  <si>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</si>
  <si>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</si>
  <si>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</si>
  <si>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</si>
  <si>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</si>
  <si>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</si>
  <si>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</si>
  <si>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</si>
  <si>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</si>
  <si>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</si>
  <si>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</si>
  <si>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</si>
  <si>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</si>
  <si>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</si>
  <si>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</si>
  <si>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</si>
  <si>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</si>
  <si>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</si>
  <si>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</si>
  <si>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</si>
  <si>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</si>
  <si>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</si>
  <si>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</si>
  <si>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</si>
  <si>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</si>
  <si>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</si>
  <si>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</si>
  <si>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</si>
  <si>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</si>
  <si>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</si>
  <si>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</si>
  <si>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</si>
  <si>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</si>
  <si>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</si>
  <si>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</si>
  <si>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</si>
  <si>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</si>
  <si>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</si>
  <si>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</si>
  <si>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</si>
  <si>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</si>
  <si>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</si>
  <si>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</si>
  <si>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</si>
  <si>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</si>
  <si>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</si>
  <si>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</si>
  <si>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</si>
  <si>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</si>
  <si>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</si>
  <si>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</si>
  <si>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</si>
  <si>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</si>
  <si>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</si>
  <si>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</si>
  <si>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</si>
  <si>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</si>
  <si>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</si>
  <si>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</si>
  <si>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</si>
  <si>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</si>
  <si>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</si>
  <si>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</si>
  <si>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</si>
  <si>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</si>
  <si>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</si>
  <si>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</si>
  <si>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</si>
  <si>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</si>
  <si>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</si>
  <si>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</si>
  <si>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</si>
  <si>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</si>
  <si>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</si>
  <si>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</si>
  <si>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</si>
  <si>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</si>
  <si>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</si>
  <si>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</si>
  <si>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</si>
  <si>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</si>
  <si>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</si>
  <si>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</si>
  <si>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</si>
  <si>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</si>
  <si>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</si>
  <si>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</si>
  <si>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</si>
  <si>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</si>
  <si>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</si>
  <si>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</si>
  <si>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</si>
  <si>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</si>
  <si>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</si>
  <si>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</si>
  <si>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</si>
  <si>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</si>
  <si>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</si>
  <si>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</si>
  <si>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</si>
  <si>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</si>
  <si>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</si>
  <si>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</si>
  <si>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</si>
  <si>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</si>
  <si>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</si>
  <si>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</si>
  <si>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</si>
  <si>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</si>
  <si>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</si>
  <si>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</si>
  <si>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</si>
  <si>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</si>
  <si>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</si>
  <si>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</si>
  <si>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</si>
  <si>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</si>
  <si>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</si>
  <si>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</si>
  <si>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</si>
  <si>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</si>
  <si>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</si>
  <si>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</si>
  <si>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</si>
  <si>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</si>
  <si>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</si>
  <si>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</si>
  <si>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</si>
  <si>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</si>
  <si>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</si>
  <si>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</si>
  <si>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</si>
  <si>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</si>
  <si>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</si>
  <si>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</si>
  <si>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</si>
  <si>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</si>
  <si>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</si>
  <si>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</si>
  <si>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</si>
  <si>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</si>
  <si>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</si>
  <si>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</si>
  <si>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</si>
  <si>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</si>
  <si>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</si>
  <si>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</si>
  <si>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</si>
  <si>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</si>
  <si>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</si>
  <si>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</si>
  <si>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</si>
  <si>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</si>
  <si>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</si>
  <si>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</si>
  <si>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</si>
  <si>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</si>
  <si>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</si>
  <si>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</si>
  <si>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</si>
  <si>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</si>
  <si>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</si>
  <si>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</si>
  <si>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</si>
  <si>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</si>
  <si>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</si>
  <si>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</si>
  <si>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</si>
  <si>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</si>
  <si>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</si>
  <si>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</si>
  <si>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</si>
  <si>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</si>
  <si>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</si>
  <si>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</si>
  <si>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</si>
  <si>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</si>
  <si>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</si>
  <si>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</si>
  <si>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</si>
  <si>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</si>
  <si>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</si>
  <si>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</si>
  <si>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</si>
  <si>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</si>
  <si>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</si>
  <si>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</si>
  <si>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</si>
  <si>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</si>
  <si>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</si>
  <si>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</si>
  <si>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</si>
  <si>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</si>
  <si>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</si>
  <si>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</si>
  <si>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</si>
  <si>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</si>
  <si>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</si>
  <si>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</si>
  <si>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</si>
  <si>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</si>
  <si>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</si>
  <si>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</si>
  <si>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</si>
  <si>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</si>
  <si>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</si>
  <si>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</si>
  <si>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</si>
  <si>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</si>
  <si>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</si>
  <si>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</si>
  <si>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</si>
  <si>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</si>
  <si>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</si>
  <si>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</si>
  <si>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</si>
  <si>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</si>
  <si>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</si>
  <si>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</si>
  <si>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</si>
  <si>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</si>
  <si>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</si>
  <si>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</si>
  <si>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</si>
  <si>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</si>
  <si>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</si>
  <si>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</si>
  <si>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</si>
  <si>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</si>
  <si>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</si>
  <si>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</si>
  <si>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</si>
  <si>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</si>
  <si>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</si>
  <si>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</si>
  <si>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</si>
  <si>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</si>
  <si>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</si>
  <si>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</si>
  <si>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</si>
  <si>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</si>
  <si>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</si>
  <si>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</si>
  <si>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</si>
  <si>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</si>
  <si>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</si>
  <si>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</si>
  <si>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</si>
  <si>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</si>
  <si>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</si>
  <si>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</si>
  <si>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</si>
  <si>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</si>
  <si>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</si>
  <si>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</si>
  <si>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</si>
  <si>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</si>
  <si>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</si>
  <si>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</si>
  <si>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</si>
  <si>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</si>
  <si>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</si>
  <si>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</si>
  <si>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</si>
  <si>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</si>
  <si>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</si>
  <si>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</si>
  <si>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</si>
  <si>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</si>
  <si>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</si>
  <si>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</si>
  <si>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</si>
  <si>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</si>
  <si>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</si>
  <si>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</si>
  <si>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</si>
  <si>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</si>
  <si>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</si>
  <si>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</si>
  <si>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</si>
  <si>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</si>
  <si>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</si>
  <si>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</si>
  <si>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</si>
  <si>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</si>
  <si>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</si>
  <si>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</si>
  <si>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</si>
  <si>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</si>
  <si>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</si>
  <si>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</si>
  <si>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</si>
  <si>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</si>
  <si>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</si>
  <si>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</si>
  <si>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</si>
  <si>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</si>
  <si>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</si>
  <si>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</si>
  <si>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</si>
  <si>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</si>
  <si>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</si>
  <si>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</si>
  <si>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</si>
  <si>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</si>
  <si>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</si>
  <si>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</si>
  <si>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</si>
  <si>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</si>
  <si>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</si>
  <si>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</si>
  <si>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</si>
  <si>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</si>
  <si>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</si>
  <si>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</si>
  <si>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</si>
  <si>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</si>
  <si>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</si>
  <si>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</si>
  <si>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</si>
  <si>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</si>
  <si>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</si>
  <si>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</si>
  <si>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</si>
  <si>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</si>
  <si>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</si>
  <si>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</si>
  <si>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</si>
  <si>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</si>
  <si>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</si>
  <si>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</si>
  <si>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</si>
  <si>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</si>
  <si>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</si>
  <si>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</si>
  <si>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</si>
  <si>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</si>
  <si>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</si>
  <si>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</si>
  <si>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</si>
  <si>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</si>
  <si>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</si>
  <si>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</si>
  <si>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</si>
  <si>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</si>
  <si>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</si>
  <si>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</si>
  <si>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</si>
  <si>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</si>
  <si>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</si>
  <si>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</si>
  <si>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</si>
  <si>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</si>
  <si>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</si>
  <si>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</si>
  <si>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</si>
  <si>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</si>
  <si>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</si>
  <si>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</si>
  <si>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</si>
  <si>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</si>
  <si>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</si>
  <si>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</si>
  <si>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</si>
  <si>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</si>
  <si>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</si>
  <si>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</si>
  <si>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</si>
  <si>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</si>
  <si>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</si>
  <si>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</si>
  <si>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</si>
  <si>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</si>
  <si>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</si>
  <si>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</si>
  <si>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</si>
  <si>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</si>
  <si>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</si>
  <si>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</si>
  <si>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</si>
  <si>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</si>
  <si>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</si>
  <si>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</si>
  <si>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</si>
  <si>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</si>
  <si>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</si>
  <si>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</si>
  <si>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</si>
  <si>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</si>
  <si>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</si>
  <si>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</si>
  <si>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</si>
  <si>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</si>
  <si>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</si>
  <si>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</si>
  <si>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</si>
  <si>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</si>
  <si>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</si>
  <si>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</si>
  <si>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</si>
  <si>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</si>
  <si>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</si>
  <si>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</si>
  <si>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</si>
  <si>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</si>
  <si>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</si>
  <si>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</si>
  <si>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</si>
  <si>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</si>
  <si>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</si>
  <si>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</si>
  <si>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</si>
  <si>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</si>
  <si>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</si>
  <si>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</si>
  <si>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</si>
  <si>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</si>
  <si>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</si>
  <si>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</si>
  <si>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</si>
  <si>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</si>
  <si>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</si>
  <si>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</si>
  <si>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</si>
  <si>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</si>
  <si>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</si>
  <si>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</si>
  <si>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</si>
  <si>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</si>
  <si>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</si>
  <si>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</si>
  <si>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</si>
  <si>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</si>
  <si>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</si>
  <si>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</si>
  <si>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</si>
  <si>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</si>
  <si>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</si>
  <si>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</si>
  <si>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</si>
  <si>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</si>
  <si>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</si>
  <si>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</si>
  <si>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</si>
  <si>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</si>
  <si>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</si>
  <si>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</si>
  <si>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</si>
  <si>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</si>
  <si>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</si>
  <si>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</si>
  <si>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</si>
  <si>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</si>
  <si>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</si>
  <si>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</si>
  <si>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</si>
  <si>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</si>
  <si>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</si>
  <si>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</si>
  <si>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</si>
  <si>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</si>
  <si>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</si>
  <si>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</si>
  <si>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</si>
  <si>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</si>
  <si>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</si>
  <si>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</si>
  <si>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</si>
  <si>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</si>
  <si>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</si>
  <si>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</si>
  <si>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</si>
  <si>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</si>
  <si>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</si>
  <si>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</si>
  <si>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</si>
  <si>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</si>
  <si>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</si>
  <si>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</si>
  <si>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</si>
  <si>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</si>
  <si>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</si>
  <si>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</si>
  <si>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</si>
  <si>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</si>
  <si>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</si>
  <si>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</si>
  <si>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</si>
  <si>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</si>
  <si>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</si>
  <si>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</si>
  <si>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</si>
  <si>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</si>
  <si>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</si>
  <si>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</si>
  <si>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</si>
  <si>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</si>
  <si>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</si>
  <si>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</si>
  <si>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</si>
  <si>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</si>
  <si>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</si>
  <si>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</si>
  <si>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</si>
  <si>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</si>
  <si>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</si>
  <si>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</si>
  <si>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</si>
  <si>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</si>
  <si>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</si>
  <si>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</si>
  <si>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</si>
  <si>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</si>
  <si>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</si>
  <si>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</si>
  <si>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</si>
  <si>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</si>
  <si>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</si>
  <si>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</si>
  <si>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</si>
  <si>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</si>
  <si>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</si>
  <si>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</si>
  <si>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</si>
  <si>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</si>
  <si>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</si>
  <si>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</si>
  <si>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</si>
  <si>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</si>
  <si>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</si>
  <si>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</si>
  <si>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</si>
  <si>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</si>
  <si>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</si>
  <si>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</si>
  <si>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</si>
  <si>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</si>
  <si>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</si>
  <si>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</si>
  <si>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</si>
  <si>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</si>
  <si>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</si>
  <si>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</si>
  <si>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</si>
  <si>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</si>
  <si>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</si>
  <si>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</si>
  <si>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</si>
  <si>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</si>
  <si>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</si>
  <si>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</si>
  <si>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</si>
  <si>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</si>
  <si>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</si>
  <si>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</si>
  <si>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</si>
  <si>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</si>
  <si>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</si>
  <si>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</si>
  <si>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</si>
  <si>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</si>
  <si>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</si>
  <si>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</si>
  <si>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</si>
  <si>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</si>
  <si>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</si>
  <si>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</si>
  <si>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</si>
  <si>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</si>
  <si>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</si>
  <si>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</si>
  <si>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</si>
  <si>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</si>
  <si>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</si>
  <si>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</si>
  <si>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</si>
  <si>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</si>
  <si>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</si>
  <si>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</si>
  <si>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</si>
  <si>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</si>
  <si>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</si>
  <si>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</si>
  <si>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</si>
  <si>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</si>
  <si>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</si>
  <si>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</si>
  <si>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</si>
  <si>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</si>
  <si>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</si>
  <si>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</si>
  <si>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</si>
  <si>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</si>
  <si>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</si>
  <si>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</si>
  <si>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</si>
  <si>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</si>
  <si>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</si>
  <si>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</si>
  <si>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</si>
  <si>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</si>
  <si>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</si>
  <si>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</si>
  <si>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</si>
  <si>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</si>
  <si>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</si>
  <si>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</si>
  <si>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</si>
  <si>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</si>
  <si>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</si>
  <si>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</si>
  <si>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</si>
  <si>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</si>
  <si>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</si>
  <si>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</si>
  <si>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</si>
  <si>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</si>
  <si>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</si>
  <si>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</si>
  <si>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</si>
  <si>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</si>
  <si>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</si>
  <si>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</si>
  <si>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</si>
  <si>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</si>
  <si>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</si>
  <si>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</si>
  <si>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</si>
  <si>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</si>
  <si>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</si>
  <si>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</si>
  <si>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</si>
  <si>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</si>
  <si>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</si>
  <si>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</si>
  <si>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</si>
  <si>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</si>
  <si>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</si>
  <si>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</si>
  <si>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</si>
  <si>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</si>
  <si>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</si>
  <si>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</si>
  <si>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</si>
  <si>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</si>
  <si>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</si>
  <si>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</si>
  <si>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</si>
  <si>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</si>
  <si>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</si>
  <si>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</si>
  <si>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</si>
  <si>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</si>
  <si>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</si>
  <si>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</si>
  <si>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</si>
  <si>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</si>
  <si>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</si>
  <si>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</si>
  <si>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</si>
  <si>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</si>
  <si>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</si>
  <si>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</si>
  <si>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</si>
  <si>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</si>
  <si>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</si>
  <si>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</si>
  <si>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</si>
  <si>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</si>
  <si>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</si>
  <si>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</si>
  <si>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</si>
  <si>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</si>
  <si>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</si>
  <si>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</si>
  <si>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</si>
  <si>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</si>
  <si>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</si>
  <si>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</si>
  <si>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</si>
  <si>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</si>
  <si>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</si>
  <si>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</si>
  <si>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</si>
  <si>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</si>
  <si>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</si>
  <si>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</si>
  <si>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</si>
  <si>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</si>
  <si>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</si>
  <si>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</si>
  <si>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</si>
  <si>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</si>
  <si>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</si>
  <si>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</si>
  <si>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</si>
  <si>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</si>
  <si>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</si>
  <si>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</si>
  <si>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</si>
  <si>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</si>
  <si>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</si>
  <si>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</si>
  <si>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</si>
  <si>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</si>
  <si>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</si>
  <si>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</si>
  <si>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</si>
  <si>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</si>
  <si>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</si>
  <si>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</si>
  <si>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</si>
  <si>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</si>
  <si>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</si>
  <si>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</si>
  <si>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</si>
  <si>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</si>
  <si>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</si>
  <si>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</si>
  <si>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</si>
  <si>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</si>
  <si>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</si>
  <si>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</si>
  <si>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</si>
  <si>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</si>
  <si>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</si>
  <si>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</si>
  <si>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</si>
  <si>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</si>
  <si>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</si>
  <si>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</si>
  <si>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</si>
  <si>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</si>
  <si>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</si>
  <si>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</si>
  <si>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</si>
  <si>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</si>
  <si>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</si>
  <si>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</si>
  <si>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</si>
  <si>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</si>
  <si>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</si>
  <si>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</si>
  <si>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</si>
  <si>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</si>
  <si>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</si>
  <si>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</si>
  <si>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</si>
  <si>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</si>
  <si>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</si>
  <si>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</si>
  <si>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</si>
  <si>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</si>
  <si>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</si>
  <si>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</si>
  <si>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</si>
  <si>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</si>
  <si>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</si>
  <si>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</si>
  <si>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</si>
  <si>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</si>
  <si>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</si>
  <si>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</si>
  <si>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</si>
  <si>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</si>
  <si>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</si>
  <si>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</si>
  <si>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</si>
  <si>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</si>
  <si>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</si>
  <si>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</si>
  <si>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</si>
  <si>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</si>
  <si>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</si>
  <si>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</si>
  <si>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</si>
  <si>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</si>
  <si>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</si>
  <si>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</si>
  <si>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</si>
  <si>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</si>
  <si>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</si>
  <si>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</si>
  <si>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</si>
  <si>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</si>
  <si>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</si>
  <si>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</si>
  <si>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</si>
  <si>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</si>
  <si>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</si>
  <si>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</si>
  <si>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</si>
  <si>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</si>
  <si>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</si>
  <si>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</si>
  <si>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</si>
  <si>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</si>
  <si>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</si>
  <si>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</si>
  <si>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</si>
  <si>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</si>
  <si>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</si>
  <si>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</si>
  <si>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</si>
  <si>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</si>
  <si>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</si>
  <si>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</si>
  <si>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</si>
  <si>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</si>
  <si>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</si>
  <si>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</si>
  <si>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</si>
  <si>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</si>
  <si>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</si>
  <si>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</si>
  <si>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</si>
  <si>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</si>
  <si>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</si>
  <si>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</si>
  <si>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</si>
  <si>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</si>
  <si>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</si>
  <si>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</si>
  <si>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</si>
  <si>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</si>
  <si>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</si>
  <si>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</si>
  <si>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</si>
  <si>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</si>
  <si>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</si>
  <si>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</si>
  <si>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</si>
  <si>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</si>
  <si>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</si>
  <si>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</si>
  <si>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</si>
  <si>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</si>
  <si>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</si>
  <si>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</si>
  <si>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</si>
  <si>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</si>
  <si>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</si>
  <si>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</si>
  <si>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</si>
  <si>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</si>
  <si>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</si>
  <si>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</si>
  <si>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</si>
  <si>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</si>
  <si>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</si>
  <si>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</si>
  <si>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</si>
  <si>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</si>
  <si>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</si>
  <si>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</si>
  <si>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</si>
  <si>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</si>
  <si>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</si>
  <si>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</si>
  <si>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</si>
  <si>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</si>
  <si>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</si>
  <si>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</si>
  <si>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</si>
  <si>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</si>
  <si>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</si>
  <si>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</si>
  <si>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</si>
  <si>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</si>
  <si>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</si>
  <si>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</si>
  <si>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</si>
  <si>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</si>
  <si>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</si>
  <si>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</si>
  <si>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</si>
  <si>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</si>
  <si>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</si>
  <si>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</si>
  <si>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</si>
  <si>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</si>
  <si>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</si>
  <si>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</si>
  <si>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</si>
  <si>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</si>
  <si>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</si>
  <si>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</si>
  <si>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</si>
  <si>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</si>
  <si>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</si>
  <si>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</si>
  <si>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</si>
  <si>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</si>
  <si>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</si>
  <si>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</si>
  <si>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</si>
  <si>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</si>
  <si>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</si>
  <si>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</si>
  <si>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</si>
  <si>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</si>
  <si>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</si>
  <si>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</si>
  <si>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</si>
  <si>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</si>
  <si>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</si>
  <si>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</si>
  <si>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</si>
  <si>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</si>
  <si>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</si>
  <si>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</si>
  <si>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</si>
  <si>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</si>
  <si>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</si>
  <si>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</si>
  <si>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</si>
  <si>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</si>
  <si>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</si>
  <si>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</si>
  <si>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</si>
  <si>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</si>
  <si>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</si>
  <si>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</si>
  <si>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</si>
  <si>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</si>
  <si>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</si>
  <si>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</si>
  <si>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</si>
  <si>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</si>
  <si>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</si>
  <si>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</si>
  <si>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</si>
  <si>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</si>
  <si>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</si>
  <si>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</si>
  <si>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</si>
  <si>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</si>
  <si>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</si>
  <si>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</si>
  <si>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</si>
  <si>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</si>
  <si>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</si>
  <si>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</si>
  <si>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</si>
  <si>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</si>
  <si>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</si>
  <si>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</si>
  <si>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</si>
  <si>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</si>
  <si>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</si>
  <si>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</si>
  <si>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</si>
  <si>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</si>
  <si>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</si>
  <si>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</si>
  <si>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</si>
  <si>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</si>
  <si>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</si>
  <si>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</si>
  <si>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</si>
  <si>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</si>
  <si>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</si>
  <si>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</si>
  <si>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</si>
  <si>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</si>
  <si>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</si>
  <si>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</si>
  <si>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</si>
  <si>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</si>
  <si>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</si>
  <si>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</si>
  <si>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</si>
  <si>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</si>
  <si>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</si>
  <si>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</si>
  <si>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</si>
  <si>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</si>
  <si>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</si>
  <si>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</si>
  <si>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</si>
  <si>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</si>
  <si>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</si>
  <si>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</si>
  <si>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</si>
  <si>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</si>
  <si>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</si>
  <si>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</si>
  <si>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</si>
  <si>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</si>
  <si>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</si>
  <si>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</si>
  <si>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</si>
  <si>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</si>
  <si>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</si>
  <si>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</si>
  <si>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</si>
  <si>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</si>
  <si>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</si>
  <si>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</si>
  <si>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</si>
  <si>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</si>
  <si>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</si>
  <si>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</si>
  <si>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</si>
  <si>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</si>
  <si>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</si>
  <si>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</si>
  <si>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</si>
  <si>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</si>
  <si>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</si>
  <si>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</si>
  <si>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</si>
  <si>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</si>
  <si>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</si>
  <si>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</si>
  <si>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</si>
  <si>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</si>
  <si>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</si>
  <si>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</si>
  <si>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</si>
  <si>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</si>
  <si>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</si>
  <si>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</si>
  <si>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</si>
  <si>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</si>
  <si>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</si>
  <si>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</si>
  <si>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</si>
  <si>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</si>
  <si>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</si>
  <si>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</si>
  <si>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</si>
  <si>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</si>
  <si>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</si>
  <si>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</si>
  <si>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</si>
  <si>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</si>
  <si>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</si>
  <si>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</si>
  <si>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</si>
  <si>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</si>
  <si>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</si>
  <si>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</si>
  <si>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</si>
  <si>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</si>
  <si>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</si>
  <si>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</si>
  <si>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</si>
  <si>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</si>
  <si>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</si>
  <si>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</si>
  <si>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</si>
  <si>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</si>
  <si>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</si>
  <si>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</si>
  <si>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</si>
  <si>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</si>
  <si>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</si>
  <si>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</si>
  <si>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</si>
  <si>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</si>
  <si>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</si>
  <si>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</si>
  <si>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</si>
  <si>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</si>
  <si>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</si>
  <si>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</si>
  <si>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</si>
  <si>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</si>
  <si>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</si>
  <si>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</si>
  <si>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</si>
  <si>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</si>
  <si>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</si>
  <si>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</si>
  <si>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</si>
  <si>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</si>
  <si>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</si>
  <si>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</si>
  <si>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</si>
  <si>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</si>
  <si>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</si>
  <si>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</si>
  <si>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</si>
  <si>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</si>
  <si>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</si>
  <si>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</si>
  <si>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</si>
  <si>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</si>
  <si>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</si>
  <si>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</si>
  <si>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</si>
  <si>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</si>
  <si>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</si>
  <si>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</si>
  <si>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</si>
  <si>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</si>
  <si>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</si>
  <si>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</si>
  <si>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</si>
  <si>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</si>
  <si>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</si>
  <si>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</si>
  <si>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</si>
  <si>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</si>
  <si>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</si>
  <si>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</si>
  <si>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</si>
  <si>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</si>
  <si>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</si>
  <si>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</si>
  <si>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</si>
  <si>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</si>
  <si>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</si>
  <si>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</si>
  <si>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</si>
  <si>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</si>
  <si>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</si>
  <si>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</si>
  <si>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</si>
  <si>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</si>
  <si>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</si>
  <si>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</si>
  <si>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</si>
  <si>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</si>
  <si>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</si>
  <si>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</si>
  <si>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</si>
  <si>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</si>
  <si>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</si>
  <si>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</si>
  <si>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</si>
  <si>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</si>
  <si>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</si>
  <si>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</si>
  <si>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</si>
  <si>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</si>
  <si>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</si>
  <si>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</si>
  <si>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</si>
  <si>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</si>
  <si>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</si>
  <si>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</si>
  <si>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</si>
  <si>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</si>
  <si>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</si>
  <si>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</si>
  <si>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</si>
  <si>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</si>
  <si>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</si>
  <si>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</si>
  <si>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</si>
  <si>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</si>
  <si>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</si>
  <si>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</si>
  <si>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</si>
  <si>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</si>
  <si>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</si>
  <si>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</si>
  <si>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</si>
  <si>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</si>
  <si>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</si>
  <si>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</si>
  <si>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</si>
  <si>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</si>
  <si>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</si>
  <si>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</si>
  <si>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</si>
  <si>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</si>
  <si>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</si>
  <si>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</si>
  <si>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</si>
  <si>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</si>
  <si>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</si>
  <si>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</si>
  <si>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</si>
  <si>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</si>
  <si>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</si>
  <si>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</si>
  <si>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</si>
  <si>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</si>
  <si>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</si>
  <si>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</si>
  <si>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</si>
  <si>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</si>
  <si>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</si>
  <si>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</si>
  <si>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</si>
  <si>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</si>
  <si>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</si>
  <si>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</si>
  <si>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</si>
  <si>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</si>
  <si>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</si>
  <si>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</si>
  <si>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</si>
  <si>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</si>
  <si>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</si>
  <si>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</si>
  <si>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</si>
  <si>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</si>
  <si>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</si>
  <si>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</si>
  <si>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</si>
  <si>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</si>
  <si>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</si>
  <si>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</si>
  <si>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</si>
  <si>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</si>
  <si>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</si>
  <si>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</si>
  <si>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</si>
  <si>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</si>
  <si>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</si>
  <si>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</si>
  <si>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</si>
  <si>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</si>
  <si>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</si>
  <si>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</si>
  <si>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</si>
  <si>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</si>
  <si>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</si>
  <si>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</si>
  <si>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</si>
  <si>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</si>
  <si>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</si>
  <si>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</si>
  <si>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</si>
  <si>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</si>
  <si>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</si>
  <si>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</si>
  <si>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</si>
  <si>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</si>
  <si>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</si>
  <si>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</si>
  <si>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</si>
  <si>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</si>
  <si>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</si>
  <si>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</si>
  <si>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</si>
  <si>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</si>
  <si>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</si>
  <si>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</si>
  <si>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</si>
  <si>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</si>
  <si>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</si>
  <si>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</si>
  <si>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</si>
  <si>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</si>
  <si>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</si>
  <si>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</si>
  <si>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</si>
  <si>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</si>
  <si>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</si>
  <si>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</si>
  <si>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</si>
  <si>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</si>
  <si>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</si>
  <si>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</si>
  <si>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</si>
  <si>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</si>
  <si>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</si>
  <si>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</si>
  <si>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</si>
  <si>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</si>
  <si>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</si>
  <si>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</si>
  <si>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</si>
  <si>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</si>
  <si>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</si>
  <si>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</si>
  <si>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</si>
  <si>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</si>
  <si>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</si>
  <si>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</si>
  <si>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</si>
  <si>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</si>
  <si>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</si>
  <si>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</si>
  <si>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</si>
  <si>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</si>
  <si>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</si>
  <si>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</si>
  <si>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</si>
  <si>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</si>
  <si>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</si>
  <si>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</si>
  <si>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</si>
  <si>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</si>
  <si>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</si>
  <si>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</si>
  <si>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</si>
  <si>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</si>
  <si>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</si>
  <si>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</si>
  <si>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</si>
  <si>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</si>
  <si>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</si>
  <si>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</si>
  <si>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</si>
  <si>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</si>
  <si>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</si>
  <si>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</si>
  <si>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</si>
  <si>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</si>
  <si>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</si>
  <si>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</si>
  <si>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</si>
  <si>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</si>
  <si>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</si>
  <si>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</si>
  <si>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</si>
  <si>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</si>
  <si>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</si>
  <si>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</si>
  <si>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</si>
  <si>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</si>
  <si>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</si>
  <si>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</si>
  <si>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</si>
  <si>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</si>
  <si>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</si>
  <si>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</si>
  <si>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</si>
  <si>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</si>
  <si>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</si>
  <si>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</si>
  <si>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</si>
  <si>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</si>
  <si>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</si>
  <si>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</si>
  <si>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</si>
  <si>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</si>
  <si>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</si>
  <si>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</si>
  <si>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</si>
  <si>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</si>
  <si>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</si>
  <si>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</si>
  <si>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</si>
  <si>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</si>
  <si>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</si>
  <si>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</si>
  <si>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</si>
  <si>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</si>
  <si>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</si>
  <si>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</si>
  <si>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</si>
  <si>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</si>
  <si>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</si>
  <si>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</si>
  <si>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</si>
  <si>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</si>
  <si>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</si>
  <si>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</si>
  <si>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</si>
  <si>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</si>
  <si>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</si>
  <si>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</si>
  <si>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</si>
  <si>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</si>
  <si>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</si>
  <si>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</si>
  <si>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</si>
  <si>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</si>
  <si>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</si>
  <si>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</si>
  <si>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</si>
  <si>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</si>
  <si>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</si>
  <si>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</si>
  <si>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</si>
  <si>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</si>
  <si>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</si>
  <si>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</si>
  <si>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</si>
  <si>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</si>
  <si>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</si>
  <si>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</si>
  <si>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</si>
  <si>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</si>
  <si>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</si>
  <si>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</si>
  <si>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</si>
  <si>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</si>
  <si>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</si>
  <si>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</si>
  <si>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</si>
  <si>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</si>
  <si>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</si>
  <si>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</si>
  <si>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</si>
  <si>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</si>
  <si>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</si>
  <si>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</si>
  <si>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</si>
  <si>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</si>
  <si>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</si>
  <si>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</si>
  <si>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</si>
  <si>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</si>
  <si>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</si>
  <si>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</si>
  <si>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</si>
  <si>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</si>
  <si>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</si>
  <si>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</si>
  <si>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</si>
  <si>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</si>
  <si>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</si>
  <si>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</si>
  <si>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</si>
  <si>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</si>
  <si>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</si>
  <si>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</si>
  <si>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</si>
  <si>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</si>
  <si>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</si>
  <si>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</si>
  <si>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</si>
  <si>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</si>
  <si>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</si>
  <si>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</si>
  <si>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</si>
  <si>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</si>
  <si>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</si>
  <si>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</si>
  <si>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</si>
  <si>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</si>
  <si>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</si>
  <si>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</si>
  <si>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</si>
  <si>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</si>
  <si>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</si>
  <si>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</si>
  <si>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</si>
  <si>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</si>
  <si>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</si>
  <si>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</si>
  <si>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</si>
  <si>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</si>
  <si>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</si>
  <si>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</si>
  <si>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</si>
  <si>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</si>
  <si>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</si>
  <si>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</si>
  <si>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</si>
  <si>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</si>
  <si>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</si>
  <si>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</si>
  <si>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</si>
  <si>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</si>
  <si>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</si>
  <si>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</si>
  <si>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</si>
  <si>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</si>
  <si>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</si>
  <si>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</si>
  <si>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</si>
  <si>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</si>
  <si>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</si>
  <si>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</si>
  <si>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</si>
  <si>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</si>
  <si>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</si>
  <si>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</si>
  <si>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</si>
  <si>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</si>
  <si>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</si>
  <si>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</si>
  <si>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</si>
  <si>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</si>
  <si>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</si>
  <si>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</si>
  <si>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</si>
  <si>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</si>
  <si>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</si>
  <si>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</si>
  <si>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</si>
  <si>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</si>
  <si>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</si>
  <si>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</si>
  <si>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</si>
  <si>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</si>
  <si>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</si>
  <si>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</si>
  <si>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</si>
  <si>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</si>
  <si>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</si>
  <si>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</si>
  <si>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</si>
  <si>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</si>
  <si>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</si>
  <si>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</si>
  <si>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</si>
  <si>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</si>
  <si>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</si>
  <si>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</si>
  <si>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</si>
  <si>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</si>
  <si>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</si>
  <si>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</si>
  <si>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</si>
  <si>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</si>
  <si>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</si>
  <si>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</si>
  <si>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</si>
  <si>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</si>
  <si>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</si>
  <si>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</si>
  <si>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</si>
  <si>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</si>
  <si>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</si>
  <si>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</si>
  <si>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</si>
  <si>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</si>
  <si>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</si>
  <si>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</si>
  <si>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</si>
  <si>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</si>
  <si>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</si>
  <si>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</si>
  <si>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</si>
  <si>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</si>
  <si>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</si>
  <si>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</si>
  <si>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</si>
  <si>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</si>
  <si>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</si>
  <si>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</si>
  <si>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</si>
  <si>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</si>
  <si>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</si>
  <si>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</si>
  <si>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</si>
  <si>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</si>
  <si>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</si>
  <si>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</si>
  <si>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</si>
  <si>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</si>
  <si>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</si>
  <si>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</si>
  <si>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</si>
  <si>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</si>
  <si>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</si>
  <si>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</si>
  <si>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</si>
  <si>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</si>
  <si>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</si>
  <si>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</si>
  <si>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</si>
  <si>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</si>
  <si>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</si>
  <si>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</si>
  <si>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</si>
  <si>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</si>
  <si>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</si>
  <si>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</si>
  <si>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</si>
  <si>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</si>
  <si>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</si>
  <si>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</si>
  <si>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</si>
  <si>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</si>
  <si>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</si>
  <si>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</si>
  <si>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</si>
  <si>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</si>
  <si>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</si>
  <si>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</si>
  <si>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</si>
  <si>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</si>
  <si>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</si>
  <si>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</si>
  <si>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</si>
  <si>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</si>
  <si>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</si>
  <si>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</si>
  <si>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</si>
  <si>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</si>
  <si>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</si>
  <si>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</si>
  <si>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</si>
  <si>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</si>
  <si>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</si>
  <si>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</si>
  <si>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</si>
  <si>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</si>
  <si>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</si>
  <si>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</si>
  <si>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</si>
  <si>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</si>
  <si>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</si>
  <si>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</si>
  <si>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</si>
  <si>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</si>
  <si>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</si>
  <si>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</si>
  <si>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</si>
  <si>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</si>
  <si>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</si>
  <si>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</si>
  <si>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</si>
  <si>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</si>
  <si>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</si>
  <si>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</si>
  <si>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</si>
  <si>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</si>
  <si>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</si>
  <si>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</si>
  <si>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</si>
  <si>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</si>
  <si>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</si>
  <si>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</si>
  <si>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</si>
  <si>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</si>
  <si>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</si>
  <si>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</si>
  <si>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</si>
  <si>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</si>
  <si>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</si>
  <si>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</si>
  <si>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</si>
  <si>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</si>
  <si>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</si>
  <si>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</si>
  <si>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</si>
  <si>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</si>
  <si>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</si>
  <si>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</si>
  <si>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</si>
  <si>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</si>
  <si>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</si>
  <si>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</si>
  <si>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</si>
  <si>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</si>
  <si>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</si>
  <si>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</si>
  <si>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</si>
  <si>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</si>
  <si>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</si>
  <si>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</si>
  <si>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</si>
  <si>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</si>
  <si>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</si>
  <si>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</si>
  <si>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</si>
  <si>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</si>
  <si>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</si>
  <si>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</si>
  <si>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</si>
  <si>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</si>
  <si>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</si>
  <si>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</si>
  <si>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</si>
  <si>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</si>
  <si>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</si>
  <si>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</si>
  <si>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</si>
  <si>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</si>
  <si>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</si>
  <si>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</si>
  <si>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</si>
  <si>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</si>
  <si>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</si>
  <si>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</si>
  <si>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</si>
  <si>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</si>
  <si>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</si>
  <si>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</si>
  <si>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</si>
  <si>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</si>
  <si>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</si>
  <si>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</si>
  <si>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</si>
  <si>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</si>
  <si>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</si>
  <si>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</si>
  <si>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</si>
  <si>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</si>
  <si>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</si>
  <si>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</si>
  <si>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</si>
  <si>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</si>
  <si>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</si>
  <si>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</si>
  <si>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</si>
  <si>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</si>
  <si>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</si>
  <si>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</si>
  <si>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</si>
  <si>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</si>
  <si>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</si>
  <si>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</si>
  <si>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</si>
  <si>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</si>
  <si>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</si>
  <si>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</si>
  <si>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</si>
  <si>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</si>
  <si>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</si>
  <si>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</si>
  <si>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</si>
  <si>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</si>
  <si>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</si>
  <si>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</si>
  <si>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</si>
  <si>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</si>
  <si>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</si>
  <si>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</si>
  <si>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</si>
  <si>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</si>
  <si>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</si>
  <si>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</si>
  <si>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</si>
  <si>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</si>
  <si>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</si>
  <si>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</si>
  <si>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</si>
  <si>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</si>
  <si>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</si>
  <si>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</si>
  <si>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</si>
  <si>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</si>
  <si>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</si>
  <si>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</si>
  <si>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</si>
  <si>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</si>
  <si>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</si>
  <si>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</si>
  <si>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</si>
  <si>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</si>
  <si>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</si>
  <si>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</si>
  <si>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</si>
  <si>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</si>
  <si>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</si>
  <si>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</si>
  <si>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</si>
  <si>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</si>
  <si>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</si>
  <si>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</si>
  <si>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</si>
  <si>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</si>
  <si>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</si>
  <si>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</si>
  <si>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</si>
  <si>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</si>
  <si>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</si>
  <si>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</si>
  <si>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</si>
  <si>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</si>
  <si>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</si>
  <si>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</si>
  <si>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</si>
  <si>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</si>
  <si>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</si>
  <si>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</si>
  <si>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</si>
  <si>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</si>
  <si>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</si>
  <si>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</si>
  <si>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</si>
  <si>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</si>
  <si>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</si>
  <si>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</si>
  <si>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</si>
  <si>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</si>
  <si>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</si>
  <si>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</si>
  <si>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</si>
  <si>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</si>
  <si>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</si>
  <si>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</si>
  <si>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</si>
  <si>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</si>
  <si>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</si>
  <si>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</si>
  <si>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</si>
  <si>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</si>
  <si>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</si>
  <si>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</si>
  <si>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</si>
  <si>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</si>
  <si>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</si>
  <si>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</si>
  <si>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</si>
  <si>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</si>
  <si>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</si>
  <si>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</si>
  <si>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</si>
  <si>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</si>
  <si>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</si>
  <si>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</si>
  <si>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</si>
  <si>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</si>
  <si>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</si>
  <si>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</si>
  <si>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</si>
  <si>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</si>
  <si>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</si>
  <si>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</si>
  <si>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</si>
  <si>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</si>
  <si>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</si>
  <si>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</si>
  <si>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</si>
  <si>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</si>
  <si>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</si>
  <si>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</si>
  <si>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</si>
  <si>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</si>
  <si>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</si>
  <si>
    <t>DBH Parent SupportABC FF45536</t>
  </si>
  <si>
    <t>Healthy FuturesABC FF45536</t>
  </si>
  <si>
    <t>Marys CenterABC FF45536</t>
  </si>
  <si>
    <t>Medstar GeorgetownABC FF45536</t>
  </si>
  <si>
    <t>PIECEABC FF45536</t>
  </si>
  <si>
    <t>Federal CityA-CRA FF45536</t>
  </si>
  <si>
    <t>HillcrestA-CRA FF45536</t>
  </si>
  <si>
    <t>LAYCA-CRA FF45536</t>
  </si>
  <si>
    <t>RiversideA-CRA FF45536</t>
  </si>
  <si>
    <t>Adoptions TogetherCPP-FV FF45536</t>
  </si>
  <si>
    <t>Community ConnectionsCPP-FV DCS45536</t>
  </si>
  <si>
    <t>Community ConnectionsCPP-FV FF45536</t>
  </si>
  <si>
    <t>Foundations for Home &amp; CommunityCPP-FV DCS45536</t>
  </si>
  <si>
    <t>Marys CenterCPP-FV DCS45536</t>
  </si>
  <si>
    <t>Marys CenterCPP-FV FF45536</t>
  </si>
  <si>
    <t>PIECECPP-FV DCS45536</t>
  </si>
  <si>
    <t>PIECECPP-FV FF45536</t>
  </si>
  <si>
    <t>Medstar GeorgetownCPP-FV DCS45536</t>
  </si>
  <si>
    <t>Medstar GeorgetownCPP-FV FF45536</t>
  </si>
  <si>
    <t>Better MorningsFFT FF45536</t>
  </si>
  <si>
    <t>CatholicFFT FF45536</t>
  </si>
  <si>
    <t>First Home CareFFT FF45536</t>
  </si>
  <si>
    <t>Foundations for Home &amp; CommunityFFT FF45536</t>
  </si>
  <si>
    <t>HillcrestFFT FF45536</t>
  </si>
  <si>
    <t>PASSFFT FF45536</t>
  </si>
  <si>
    <t>Better MorningsIHCBS FF45536</t>
  </si>
  <si>
    <t>HillcrestIHCBS FF45536</t>
  </si>
  <si>
    <t>LESIHCBS FF45536</t>
  </si>
  <si>
    <t>MBI HSIHCBS FF45536</t>
  </si>
  <si>
    <t>MD Family ResourcesIHCBS FF45536</t>
  </si>
  <si>
    <t>LCSMST FF45536</t>
  </si>
  <si>
    <t>MBI HSMST FF45536</t>
  </si>
  <si>
    <t>Youth VillagesMST FF45536</t>
  </si>
  <si>
    <t>Youth VillagesMST-PSB FF45536</t>
  </si>
  <si>
    <t>Marys CenterPCIT FF45536</t>
  </si>
  <si>
    <t>PIECEPCIT FF45536</t>
  </si>
  <si>
    <t>Marys CenterPCIT DCS45536</t>
  </si>
  <si>
    <t>PIECEPCIT DCS45536</t>
  </si>
  <si>
    <t>Community ConnectionsPCIT DCS45536</t>
  </si>
  <si>
    <t>Community ConnectionsPCIT FF45536</t>
  </si>
  <si>
    <t>Medstar GeorgetownPCIT DCS45536</t>
  </si>
  <si>
    <t>Medstar GeorgetownPCIT FF45536</t>
  </si>
  <si>
    <t>Marys CenterPCIT-T FF45536</t>
  </si>
  <si>
    <t>PIECEPCIT-T FF45536</t>
  </si>
  <si>
    <t>Community ConnectionsTF-CBT FF45536</t>
  </si>
  <si>
    <t>First Home CareTF-CBT FF45536</t>
  </si>
  <si>
    <t>Foundations for Home &amp; CommunityTF-CBT FF45536</t>
  </si>
  <si>
    <t>HillcrestTF-CBT FF45536</t>
  </si>
  <si>
    <t>LAYCTF-CBT FF45536</t>
  </si>
  <si>
    <t>LESTF-CBT FF45536</t>
  </si>
  <si>
    <t>MD Family ResourcesTF-CBT FF45536</t>
  </si>
  <si>
    <t>UniversalTF-CBT FF45536</t>
  </si>
  <si>
    <t>Community ConnectionsTIP FF45536</t>
  </si>
  <si>
    <t>ContemporaryTIP FF45536</t>
  </si>
  <si>
    <t>FPSTIP FF45536</t>
  </si>
  <si>
    <t>Green DoorTIP FF45536</t>
  </si>
  <si>
    <t>LESTIP FF45536</t>
  </si>
  <si>
    <t>MBI HSTIP FF45536</t>
  </si>
  <si>
    <t>PASSTIP FF45536</t>
  </si>
  <si>
    <t>TFCCTIP FF45536</t>
  </si>
  <si>
    <t>UmbrellaTIP FF45536</t>
  </si>
  <si>
    <t>UniversalTIP FF45536</t>
  </si>
  <si>
    <t>Wayne PlaceTIP FF45536</t>
  </si>
  <si>
    <t>Adoptions TogetherTST FF45536</t>
  </si>
  <si>
    <t>ContemporaryTST FF45536</t>
  </si>
  <si>
    <t>Family MattersTST FF45536</t>
  </si>
  <si>
    <t>First Home CareTST FF45536</t>
  </si>
  <si>
    <t>Foundations for Home &amp; CommunityTST FF45536</t>
  </si>
  <si>
    <t>HillcrestTST FF45536</t>
  </si>
  <si>
    <t>MD Family ResourcesTST FF45536</t>
  </si>
  <si>
    <t>DBH Parent SupportABC Combined45536</t>
  </si>
  <si>
    <t>Healthy FuturesABC Combined45536</t>
  </si>
  <si>
    <t>Marys CenterABC Combined45536</t>
  </si>
  <si>
    <t>Medstar GeorgetownABC Combined45536</t>
  </si>
  <si>
    <t>PIECEABC Combined45536</t>
  </si>
  <si>
    <t>Federal CityA-CRA Combined45536</t>
  </si>
  <si>
    <t>HillcrestA-CRA Combined45536</t>
  </si>
  <si>
    <t>LAYCA-CRA Combined45536</t>
  </si>
  <si>
    <t>RiversideA-CRA Combined45536</t>
  </si>
  <si>
    <t>Adoptions TogetherCPP-FV Combined45536</t>
  </si>
  <si>
    <t>Foundations for Home &amp; CommunityCPP-FV Combined45536</t>
  </si>
  <si>
    <t>Medstar GeorgetownCPP-FV Combined45536</t>
  </si>
  <si>
    <t>Better MorningsFFT Combined45536</t>
  </si>
  <si>
    <t>CatholicFFT Combined45536</t>
  </si>
  <si>
    <t>First Home CareFFT Combined45536</t>
  </si>
  <si>
    <t>Foundations for Home &amp; CommunityFFT Combined45536</t>
  </si>
  <si>
    <t>HillcrestFFT Combined45536</t>
  </si>
  <si>
    <t>PASSFFT Combined45536</t>
  </si>
  <si>
    <t>Better MorningsIHCBS Combined45536</t>
  </si>
  <si>
    <t>HillcrestIHCBS Combined45536</t>
  </si>
  <si>
    <t>LESIHCBS Combined45536</t>
  </si>
  <si>
    <t>MBI HSIHCBS Combined45536</t>
  </si>
  <si>
    <t>MD Family ResourcesIHCBS Combined45536</t>
  </si>
  <si>
    <t>LCSMST Combined45536</t>
  </si>
  <si>
    <t>MBI HSMST Combined45536</t>
  </si>
  <si>
    <t>Youth VillagesMST Combined45536</t>
  </si>
  <si>
    <t>Youth VillagesMST-PSB Combined45536</t>
  </si>
  <si>
    <t>Medstar GeorgetownPCIT Combined45536</t>
  </si>
  <si>
    <t>Marys CenterPCIT-T Combined45536</t>
  </si>
  <si>
    <t>PIECEPCIT-T Combined45536</t>
  </si>
  <si>
    <t>Community ConnectionsTF-CBT Combined45536</t>
  </si>
  <si>
    <t>First Home CareTF-CBT Combined45536</t>
  </si>
  <si>
    <t>Foundations for Home &amp; CommunityTF-CBT Combined45536</t>
  </si>
  <si>
    <t>HillcrestTF-CBT Combined45536</t>
  </si>
  <si>
    <t>LAYCTF-CBT Combined45536</t>
  </si>
  <si>
    <t>LESTF-CBT Combined45536</t>
  </si>
  <si>
    <t>MD Family ResourcesTF-CBT Combined45536</t>
  </si>
  <si>
    <t>UniversalTF-CBT Combined45536</t>
  </si>
  <si>
    <t>Community ConnectionsTIP Combined45536</t>
  </si>
  <si>
    <t>ContemporaryTIP Combined45536</t>
  </si>
  <si>
    <t>FPSTIP Combined45536</t>
  </si>
  <si>
    <t>Green DoorTIP Combined45536</t>
  </si>
  <si>
    <t>LESTIP Combined45536</t>
  </si>
  <si>
    <t>MBI HSTIP Combined45536</t>
  </si>
  <si>
    <t>PASSTIP Combined45536</t>
  </si>
  <si>
    <t>TFCCTIP Combined45536</t>
  </si>
  <si>
    <t>UmbrellaTIP Combined45536</t>
  </si>
  <si>
    <t>UniversalTIP Combined45536</t>
  </si>
  <si>
    <t>Wayne PlaceTIP Combined45536</t>
  </si>
  <si>
    <t>Adoptions TogetherTST Combined45536</t>
  </si>
  <si>
    <t>ContemporaryTST Combined45536</t>
  </si>
  <si>
    <t>Family MattersTST Combined45536</t>
  </si>
  <si>
    <t>First Home CareTST Combined45536</t>
  </si>
  <si>
    <t>Foundations for Home &amp; CommunityTST Combined45536</t>
  </si>
  <si>
    <t>HillcrestTST Combined45536</t>
  </si>
  <si>
    <t>MD Family ResourcesTST Combined45536</t>
  </si>
  <si>
    <t>Marys CenterCPP-FV Combined45536</t>
  </si>
  <si>
    <t>PIECECPP-FV Combined45536</t>
  </si>
  <si>
    <t>Community ConnectionsCPP-FV Combined45536</t>
  </si>
  <si>
    <t>Community ConnectionsPCIT Combined45536</t>
  </si>
  <si>
    <t>Marys CenterPCIT Combined45536</t>
  </si>
  <si>
    <t>PIECEPCIT Combined45536</t>
  </si>
  <si>
    <t>CatholicAll FF45536</t>
  </si>
  <si>
    <t>ContemporaryAll FF45536</t>
  </si>
  <si>
    <t>DBH Parent SupportAll FF45536</t>
  </si>
  <si>
    <t>Family MattersAll FF45536</t>
  </si>
  <si>
    <t>Federal City All FF45536</t>
  </si>
  <si>
    <t>First Home CareAll FF45536</t>
  </si>
  <si>
    <t>Foundations for Home &amp; CommunityAll FF45536</t>
  </si>
  <si>
    <t>FPSAll FF45536</t>
  </si>
  <si>
    <t>Green DoorAll FF45536</t>
  </si>
  <si>
    <t>Healthy FuturesAll FF45536</t>
  </si>
  <si>
    <t>HillcrestAll FF45536</t>
  </si>
  <si>
    <t>LAYCAll FF45536</t>
  </si>
  <si>
    <t>LCSAll FF45536</t>
  </si>
  <si>
    <t>LESAll FF45536</t>
  </si>
  <si>
    <t>MBI HSAll FF45536</t>
  </si>
  <si>
    <t>MD Family ResourcesAll FF45536</t>
  </si>
  <si>
    <t>PASSAll FF45536</t>
  </si>
  <si>
    <t>RiversideAll FF45536</t>
  </si>
  <si>
    <t>TFCCAll FF45536</t>
  </si>
  <si>
    <t>UniversalAll FF45536</t>
  </si>
  <si>
    <t>Wayne PlaceAll FF45536</t>
  </si>
  <si>
    <t>Youth VillagesAll FF45536</t>
  </si>
  <si>
    <t>Medstar GeorgetownAll DCS45536</t>
  </si>
  <si>
    <t>Medstar GeorgetownAll FF45536</t>
  </si>
  <si>
    <t>Community ConnectionsAll FF45536</t>
  </si>
  <si>
    <t>Community ConnectionsAll DCS45536</t>
  </si>
  <si>
    <t>Marys CenterAll FF45536</t>
  </si>
  <si>
    <t>Marys CenterAll DCS45536</t>
  </si>
  <si>
    <t>PIECEAll FF45536</t>
  </si>
  <si>
    <t>PIECEAll DCS45536</t>
  </si>
  <si>
    <t>Adoptions TogetherAll Combined45536</t>
  </si>
  <si>
    <t>Better MorningsAll Combined45536</t>
  </si>
  <si>
    <t>CatholicAll Combined45536</t>
  </si>
  <si>
    <t>Community ConnectionsAll Combined45536</t>
  </si>
  <si>
    <t>ContemporaryAll Combined45536</t>
  </si>
  <si>
    <t>DBH Family SupportAll Combined45536</t>
  </si>
  <si>
    <t>Family MattersAll Combined45536</t>
  </si>
  <si>
    <t>Federal CityAll Combined45536</t>
  </si>
  <si>
    <t>First Home CareAll Combined45536</t>
  </si>
  <si>
    <t>Foundations for Home &amp; CommunityAll Combined45536</t>
  </si>
  <si>
    <t>FPSAll Combined45536</t>
  </si>
  <si>
    <t>Green DoorAll Combined45536</t>
  </si>
  <si>
    <t>Healthy FuturesAll Combined45536</t>
  </si>
  <si>
    <t>HillcrestAll Combined45536</t>
  </si>
  <si>
    <t>LAYCAll Combined45536</t>
  </si>
  <si>
    <t>LCSAll Combined45536</t>
  </si>
  <si>
    <t>LESAll Combined45536</t>
  </si>
  <si>
    <t>Marys CenterAll Combined45536</t>
  </si>
  <si>
    <t>MBI HSAll Combined45536</t>
  </si>
  <si>
    <t>MD Family ResourcesAll Combined45536</t>
  </si>
  <si>
    <t>Medstar GeorgetownAll Combined45536</t>
  </si>
  <si>
    <t>PASSAll Combined45536</t>
  </si>
  <si>
    <t>PIECEAll Combined45536</t>
  </si>
  <si>
    <t>RiversideAll Combined45536</t>
  </si>
  <si>
    <t>TFCCAll Combined45536</t>
  </si>
  <si>
    <t>UmbrellaAll Combined45536</t>
  </si>
  <si>
    <t>UniversalAll Combined45536</t>
  </si>
  <si>
    <t>Wayne PlaceAll Combined45536</t>
  </si>
  <si>
    <t>Youth VillagesAll Combined45536</t>
  </si>
  <si>
    <t>All ABC ProvidersABC FF45536</t>
  </si>
  <si>
    <t>All ABC ProvidersABC Combined45536</t>
  </si>
  <si>
    <t>All A-CRA ProvidersA-CRA FF45536</t>
  </si>
  <si>
    <t>All A-CRA ProvidersA-CRA Combined45536</t>
  </si>
  <si>
    <t>All CPP-FV ProvidersCPP-FV FF45536</t>
  </si>
  <si>
    <t>All CPP-FV ProvidersCPP-FV DCS45536</t>
  </si>
  <si>
    <t>All CPP-FV ProvidersCPP-FV Combined45536</t>
  </si>
  <si>
    <t>All FFT ProvidersFFT FF45536</t>
  </si>
  <si>
    <t>All FFT ProvidersFFT Combined45536</t>
  </si>
  <si>
    <t>All IHCBS ProvidersIHCBS FF45536</t>
  </si>
  <si>
    <t>All IHCBS ProvidersIHCBS Combined45536</t>
  </si>
  <si>
    <t>All MST ProvidersMST FF45536</t>
  </si>
  <si>
    <t>All MST ProvidersMST Combined45536</t>
  </si>
  <si>
    <t>All MST-PSB ProvidersMST-PSB FF45536</t>
  </si>
  <si>
    <t>All MST-PSB ProvidersMST-PSB Combined45536</t>
  </si>
  <si>
    <t>All PCIT ProvidersPCIT FF45536</t>
  </si>
  <si>
    <t>All PCIT ProvidersPCIT DCS45536</t>
  </si>
  <si>
    <t>All PCIT ProvidersPCIT Combined45536</t>
  </si>
  <si>
    <t>All PCIT-T ProvidersPCIT-T FF45536</t>
  </si>
  <si>
    <t>All PCIT-T ProvidersPCIT-T Combined45536</t>
  </si>
  <si>
    <t>All SFCR ProvidersSFCR FF45536</t>
  </si>
  <si>
    <t>All SFCR ProvidersSFCR Combined45536</t>
  </si>
  <si>
    <t>All TF-CBT ProvidersTF-CBT FF45536</t>
  </si>
  <si>
    <t>All TF-CBT ProvidersTF-CBT Combined45536</t>
  </si>
  <si>
    <t>All TIP ProvidersTIP FF45536</t>
  </si>
  <si>
    <t>All TIP ProvidersTIP Combined45536</t>
  </si>
  <si>
    <t>All TST ProvidersTST FF45536</t>
  </si>
  <si>
    <t>All TST ProvidersTST Combined45536</t>
  </si>
  <si>
    <t>Families First ProvidersAll FF45536</t>
  </si>
  <si>
    <t>DC Seed ProvidersAll DCS45536</t>
  </si>
  <si>
    <t>Trauma ProvidersAll FF45536</t>
  </si>
  <si>
    <t>Trauma ProvidersAll DCS45536</t>
  </si>
  <si>
    <t>Trauma ProvidersAll Combined45536</t>
  </si>
  <si>
    <t>AllAll Combined45536</t>
  </si>
  <si>
    <t>DBH Parent SupportABC FF45566</t>
  </si>
  <si>
    <t>Healthy FuturesABC FF45566</t>
  </si>
  <si>
    <t>Marys CenterABC FF45566</t>
  </si>
  <si>
    <t>Medstar GeorgetownABC FF45566</t>
  </si>
  <si>
    <t>PIECEABC FF45566</t>
  </si>
  <si>
    <t>Federal CityA-CRA FF45566</t>
  </si>
  <si>
    <t>HillcrestA-CRA FF45566</t>
  </si>
  <si>
    <t>LAYCA-CRA FF45566</t>
  </si>
  <si>
    <t>RiversideA-CRA FF45566</t>
  </si>
  <si>
    <t>Adoptions TogetherCPP-FV FF45566</t>
  </si>
  <si>
    <t>Community ConnectionsCPP-FV DCS45566</t>
  </si>
  <si>
    <t>Community ConnectionsCPP-FV FF45566</t>
  </si>
  <si>
    <t>Foundations for Home &amp; CommunityCPP-FV DCS45566</t>
  </si>
  <si>
    <t>Marys CenterCPP-FV DCS45566</t>
  </si>
  <si>
    <t>Marys CenterCPP-FV FF45566</t>
  </si>
  <si>
    <t>PIECECPP-FV DCS45566</t>
  </si>
  <si>
    <t>PIECECPP-FV FF45566</t>
  </si>
  <si>
    <t>Medstar GeorgetownCPP-FV DCS45566</t>
  </si>
  <si>
    <t>Medstar GeorgetownCPP-FV FF45566</t>
  </si>
  <si>
    <t>Better MorningsFFT FF45566</t>
  </si>
  <si>
    <t>CatholicFFT FF45566</t>
  </si>
  <si>
    <t>First Home CareFFT FF45566</t>
  </si>
  <si>
    <t>Foundations for Home &amp; CommunityFFT FF45566</t>
  </si>
  <si>
    <t>HillcrestFFT FF45566</t>
  </si>
  <si>
    <t>PASSFFT FF45566</t>
  </si>
  <si>
    <t>Better MorningsIHCBS FF45566</t>
  </si>
  <si>
    <t>HillcrestIHCBS FF45566</t>
  </si>
  <si>
    <t>LESIHCBS FF45566</t>
  </si>
  <si>
    <t>MBI HSIHCBS FF45566</t>
  </si>
  <si>
    <t>MD Family ResourcesIHCBS FF45566</t>
  </si>
  <si>
    <t>LCSMST FF45566</t>
  </si>
  <si>
    <t>MBI HSMST FF45566</t>
  </si>
  <si>
    <t>Youth VillagesMST FF45566</t>
  </si>
  <si>
    <t>Youth VillagesMST-PSB FF45566</t>
  </si>
  <si>
    <t>Marys CenterPCIT FF45566</t>
  </si>
  <si>
    <t>PIECEPCIT FF45566</t>
  </si>
  <si>
    <t>Marys CenterPCIT DCS45566</t>
  </si>
  <si>
    <t>PIECEPCIT DCS45566</t>
  </si>
  <si>
    <t>Community ConnectionsPCIT DCS45566</t>
  </si>
  <si>
    <t>Community ConnectionsPCIT FF45566</t>
  </si>
  <si>
    <t>Medstar GeorgetownPCIT DCS45566</t>
  </si>
  <si>
    <t>Medstar GeorgetownPCIT FF45566</t>
  </si>
  <si>
    <t>Marys CenterPCIT-T FF45566</t>
  </si>
  <si>
    <t>PIECEPCIT-T FF45566</t>
  </si>
  <si>
    <t>Community ConnectionsTF-CBT FF45566</t>
  </si>
  <si>
    <t>First Home CareTF-CBT FF45566</t>
  </si>
  <si>
    <t>Foundations for Home &amp; CommunityTF-CBT FF45566</t>
  </si>
  <si>
    <t>HillcrestTF-CBT FF45566</t>
  </si>
  <si>
    <t>LAYCTF-CBT FF45566</t>
  </si>
  <si>
    <t>LESTF-CBT FF45566</t>
  </si>
  <si>
    <t>MD Family ResourcesTF-CBT FF45566</t>
  </si>
  <si>
    <t>UniversalTF-CBT FF45566</t>
  </si>
  <si>
    <t>Community ConnectionsTIP FF45566</t>
  </si>
  <si>
    <t>ContemporaryTIP FF45566</t>
  </si>
  <si>
    <t>FPSTIP FF45566</t>
  </si>
  <si>
    <t>Green DoorTIP FF45566</t>
  </si>
  <si>
    <t>LESTIP FF45566</t>
  </si>
  <si>
    <t>MBI HSTIP FF45566</t>
  </si>
  <si>
    <t>PASSTIP FF45566</t>
  </si>
  <si>
    <t>TFCCTIP FF45566</t>
  </si>
  <si>
    <t>UmbrellaTIP FF45566</t>
  </si>
  <si>
    <t>UniversalTIP FF45566</t>
  </si>
  <si>
    <t>Wayne PlaceTIP FF45566</t>
  </si>
  <si>
    <t>Adoptions TogetherTST FF45566</t>
  </si>
  <si>
    <t>ContemporaryTST FF45566</t>
  </si>
  <si>
    <t>Family MattersTST FF45566</t>
  </si>
  <si>
    <t>First Home CareTST FF45566</t>
  </si>
  <si>
    <t>Foundations for Home &amp; CommunityTST FF45566</t>
  </si>
  <si>
    <t>HillcrestTST FF45566</t>
  </si>
  <si>
    <t>MD Family ResourcesTST FF45566</t>
  </si>
  <si>
    <t>DBH Parent SupportABC Combined45566</t>
  </si>
  <si>
    <t>Healthy FuturesABC Combined45566</t>
  </si>
  <si>
    <t>Marys CenterABC Combined45566</t>
  </si>
  <si>
    <t>Medstar GeorgetownABC Combined45566</t>
  </si>
  <si>
    <t>PIECEABC Combined45566</t>
  </si>
  <si>
    <t>Federal CityA-CRA Combined45566</t>
  </si>
  <si>
    <t>HillcrestA-CRA Combined45566</t>
  </si>
  <si>
    <t>LAYCA-CRA Combined45566</t>
  </si>
  <si>
    <t>RiversideA-CRA Combined45566</t>
  </si>
  <si>
    <t>Adoptions TogetherCPP-FV Combined45566</t>
  </si>
  <si>
    <t>Foundations for Home &amp; CommunityCPP-FV Combined45566</t>
  </si>
  <si>
    <t>Medstar GeorgetownCPP-FV Combined45566</t>
  </si>
  <si>
    <t>Better MorningsFFT Combined45566</t>
  </si>
  <si>
    <t>CatholicFFT Combined45566</t>
  </si>
  <si>
    <t>First Home CareFFT Combined45566</t>
  </si>
  <si>
    <t>Foundations for Home &amp; CommunityFFT Combined45566</t>
  </si>
  <si>
    <t>HillcrestFFT Combined45566</t>
  </si>
  <si>
    <t>PASSFFT Combined45566</t>
  </si>
  <si>
    <t>Better MorningsIHCBS Combined45566</t>
  </si>
  <si>
    <t>HillcrestIHCBS Combined45566</t>
  </si>
  <si>
    <t>LESIHCBS Combined45566</t>
  </si>
  <si>
    <t>MBI HSIHCBS Combined45566</t>
  </si>
  <si>
    <t>MD Family ResourcesIHCBS Combined45566</t>
  </si>
  <si>
    <t>LCSMST Combined45566</t>
  </si>
  <si>
    <t>MBI HSMST Combined45566</t>
  </si>
  <si>
    <t>Youth VillagesMST Combined45566</t>
  </si>
  <si>
    <t>Youth VillagesMST-PSB Combined45566</t>
  </si>
  <si>
    <t>Medstar GeorgetownPCIT Combined45566</t>
  </si>
  <si>
    <t>Marys CenterPCIT-T Combined45566</t>
  </si>
  <si>
    <t>PIECEPCIT-T Combined45566</t>
  </si>
  <si>
    <t>Community ConnectionsTF-CBT Combined45566</t>
  </si>
  <si>
    <t>First Home CareTF-CBT Combined45566</t>
  </si>
  <si>
    <t>Foundations for Home &amp; CommunityTF-CBT Combined45566</t>
  </si>
  <si>
    <t>HillcrestTF-CBT Combined45566</t>
  </si>
  <si>
    <t>LAYCTF-CBT Combined45566</t>
  </si>
  <si>
    <t>LESTF-CBT Combined45566</t>
  </si>
  <si>
    <t>MD Family ResourcesTF-CBT Combined45566</t>
  </si>
  <si>
    <t>UniversalTF-CBT Combined45566</t>
  </si>
  <si>
    <t>Community ConnectionsTIP Combined45566</t>
  </si>
  <si>
    <t>ContemporaryTIP Combined45566</t>
  </si>
  <si>
    <t>FPSTIP Combined45566</t>
  </si>
  <si>
    <t>Green DoorTIP Combined45566</t>
  </si>
  <si>
    <t>LESTIP Combined45566</t>
  </si>
  <si>
    <t>MBI HSTIP Combined45566</t>
  </si>
  <si>
    <t>PASSTIP Combined45566</t>
  </si>
  <si>
    <t>TFCCTIP Combined45566</t>
  </si>
  <si>
    <t>UmbrellaTIP Combined45566</t>
  </si>
  <si>
    <t>UniversalTIP Combined45566</t>
  </si>
  <si>
    <t>Wayne PlaceTIP Combined45566</t>
  </si>
  <si>
    <t>Adoptions TogetherTST Combined45566</t>
  </si>
  <si>
    <t>ContemporaryTST Combined45566</t>
  </si>
  <si>
    <t>Family MattersTST Combined45566</t>
  </si>
  <si>
    <t>First Home CareTST Combined45566</t>
  </si>
  <si>
    <t>Foundations for Home &amp; CommunityTST Combined45566</t>
  </si>
  <si>
    <t>HillcrestTST Combined45566</t>
  </si>
  <si>
    <t>MD Family ResourcesTST Combined45566</t>
  </si>
  <si>
    <t>Marys CenterCPP-FV Combined45566</t>
  </si>
  <si>
    <t>PIECECPP-FV Combined45566</t>
  </si>
  <si>
    <t>Community ConnectionsCPP-FV Combined45566</t>
  </si>
  <si>
    <t>Community ConnectionsPCIT Combined45566</t>
  </si>
  <si>
    <t>Marys CenterPCIT Combined45566</t>
  </si>
  <si>
    <t>PIECEPCIT Combined45566</t>
  </si>
  <si>
    <t>CatholicAll FF45566</t>
  </si>
  <si>
    <t>ContemporaryAll FF45566</t>
  </si>
  <si>
    <t>DBH Parent SupportAll FF45566</t>
  </si>
  <si>
    <t>Family MattersAll FF45566</t>
  </si>
  <si>
    <t>Federal City All FF45566</t>
  </si>
  <si>
    <t>First Home CareAll FF45566</t>
  </si>
  <si>
    <t>Foundations for Home &amp; CommunityAll FF45566</t>
  </si>
  <si>
    <t>FPSAll FF45566</t>
  </si>
  <si>
    <t>Green DoorAll FF45566</t>
  </si>
  <si>
    <t>Healthy FuturesAll FF45566</t>
  </si>
  <si>
    <t>HillcrestAll FF45566</t>
  </si>
  <si>
    <t>LAYCAll FF45566</t>
  </si>
  <si>
    <t>LCSAll FF45566</t>
  </si>
  <si>
    <t>LESAll FF45566</t>
  </si>
  <si>
    <t>MBI HSAll FF45566</t>
  </si>
  <si>
    <t>MD Family ResourcesAll FF45566</t>
  </si>
  <si>
    <t>PASSAll FF45566</t>
  </si>
  <si>
    <t>RiversideAll FF45566</t>
  </si>
  <si>
    <t>TFCCAll FF45566</t>
  </si>
  <si>
    <t>UniversalAll FF45566</t>
  </si>
  <si>
    <t>Wayne PlaceAll FF45566</t>
  </si>
  <si>
    <t>Youth VillagesAll FF45566</t>
  </si>
  <si>
    <t>Medstar GeorgetownAll DCS45566</t>
  </si>
  <si>
    <t>Medstar GeorgetownAll FF45566</t>
  </si>
  <si>
    <t>Community ConnectionsAll FF45566</t>
  </si>
  <si>
    <t>Community ConnectionsAll DCS45566</t>
  </si>
  <si>
    <t>Marys CenterAll FF45566</t>
  </si>
  <si>
    <t>Marys CenterAll DCS45566</t>
  </si>
  <si>
    <t>PIECEAll FF45566</t>
  </si>
  <si>
    <t>PIECEAll DCS45566</t>
  </si>
  <si>
    <t>Adoptions TogetherAll Combined45566</t>
  </si>
  <si>
    <t>Better MorningsAll Combined45566</t>
  </si>
  <si>
    <t>CatholicAll Combined45566</t>
  </si>
  <si>
    <t>Community ConnectionsAll Combined45566</t>
  </si>
  <si>
    <t>ContemporaryAll Combined45566</t>
  </si>
  <si>
    <t>DBH Family SupportAll Combined45566</t>
  </si>
  <si>
    <t>Family MattersAll Combined45566</t>
  </si>
  <si>
    <t>Federal CityAll Combined45566</t>
  </si>
  <si>
    <t>First Home CareAll Combined45566</t>
  </si>
  <si>
    <t>Foundations for Home &amp; CommunityAll Combined45566</t>
  </si>
  <si>
    <t>FPSAll Combined45566</t>
  </si>
  <si>
    <t>Green DoorAll Combined45566</t>
  </si>
  <si>
    <t>Healthy FuturesAll Combined45566</t>
  </si>
  <si>
    <t>HillcrestAll Combined45566</t>
  </si>
  <si>
    <t>LAYCAll Combined45566</t>
  </si>
  <si>
    <t>LCSAll Combined45566</t>
  </si>
  <si>
    <t>LESAll Combined45566</t>
  </si>
  <si>
    <t>Marys CenterAll Combined45566</t>
  </si>
  <si>
    <t>MBI HSAll Combined45566</t>
  </si>
  <si>
    <t>MD Family ResourcesAll Combined45566</t>
  </si>
  <si>
    <t>Medstar GeorgetownAll Combined45566</t>
  </si>
  <si>
    <t>PASSAll Combined45566</t>
  </si>
  <si>
    <t>PIECEAll Combined45566</t>
  </si>
  <si>
    <t>RiversideAll Combined45566</t>
  </si>
  <si>
    <t>TFCCAll Combined45566</t>
  </si>
  <si>
    <t>UmbrellaAll Combined45566</t>
  </si>
  <si>
    <t>UniversalAll Combined45566</t>
  </si>
  <si>
    <t>Wayne PlaceAll Combined45566</t>
  </si>
  <si>
    <t>Youth VillagesAll Combined45566</t>
  </si>
  <si>
    <t>All ABC ProvidersABC FF45566</t>
  </si>
  <si>
    <t>All ABC ProvidersABC Combined45566</t>
  </si>
  <si>
    <t>All A-CRA ProvidersA-CRA FF45566</t>
  </si>
  <si>
    <t>All A-CRA ProvidersA-CRA Combined45566</t>
  </si>
  <si>
    <t>All CPP-FV ProvidersCPP-FV FF45566</t>
  </si>
  <si>
    <t>All CPP-FV ProvidersCPP-FV DCS45566</t>
  </si>
  <si>
    <t>All CPP-FV ProvidersCPP-FV Combined45566</t>
  </si>
  <si>
    <t>All FFT ProvidersFFT FF45566</t>
  </si>
  <si>
    <t>All FFT ProvidersFFT Combined45566</t>
  </si>
  <si>
    <t>All IHCBS ProvidersIHCBS FF45566</t>
  </si>
  <si>
    <t>All IHCBS ProvidersIHCBS Combined45566</t>
  </si>
  <si>
    <t>All MST ProvidersMST FF45566</t>
  </si>
  <si>
    <t>All MST ProvidersMST Combined45566</t>
  </si>
  <si>
    <t>All MST-PSB ProvidersMST-PSB FF45566</t>
  </si>
  <si>
    <t>All MST-PSB ProvidersMST-PSB Combined45566</t>
  </si>
  <si>
    <t>All PCIT ProvidersPCIT FF45566</t>
  </si>
  <si>
    <t>All PCIT ProvidersPCIT DCS45566</t>
  </si>
  <si>
    <t>All PCIT ProvidersPCIT Combined45566</t>
  </si>
  <si>
    <t>All PCIT-T ProvidersPCIT-T FF45566</t>
  </si>
  <si>
    <t>All PCIT-T ProvidersPCIT-T Combined45566</t>
  </si>
  <si>
    <t>All SFCR ProvidersSFCR FF45566</t>
  </si>
  <si>
    <t>All SFCR ProvidersSFCR Combined45566</t>
  </si>
  <si>
    <t>All TF-CBT ProvidersTF-CBT FF45566</t>
  </si>
  <si>
    <t>All TF-CBT ProvidersTF-CBT Combined45566</t>
  </si>
  <si>
    <t>All TIP ProvidersTIP FF45566</t>
  </si>
  <si>
    <t>All TIP ProvidersTIP Combined45566</t>
  </si>
  <si>
    <t>All TST ProvidersTST FF45566</t>
  </si>
  <si>
    <t>All TST ProvidersTST Combined45566</t>
  </si>
  <si>
    <t>Families First ProvidersAll FF45566</t>
  </si>
  <si>
    <t>DC Seed ProvidersAll DCS45566</t>
  </si>
  <si>
    <t>Trauma ProvidersAll FF45566</t>
  </si>
  <si>
    <t>Trauma ProvidersAll DCS45566</t>
  </si>
  <si>
    <t>Trauma ProvidersAll Combined45566</t>
  </si>
  <si>
    <t>AllAll Combined45566</t>
  </si>
  <si>
    <t>DBH Parent SupportABC FF45597</t>
  </si>
  <si>
    <t>Healthy FuturesABC FF45597</t>
  </si>
  <si>
    <t>Marys CenterABC FF45597</t>
  </si>
  <si>
    <t>Medstar GeorgetownABC FF45597</t>
  </si>
  <si>
    <t>PIECEABC FF45597</t>
  </si>
  <si>
    <t>Federal CityA-CRA FF45597</t>
  </si>
  <si>
    <t>HillcrestA-CRA FF45597</t>
  </si>
  <si>
    <t>LAYCA-CRA FF45597</t>
  </si>
  <si>
    <t>RiversideA-CRA FF45597</t>
  </si>
  <si>
    <t>Adoptions TogetherCPP-FV FF45597</t>
  </si>
  <si>
    <t>Community ConnectionsCPP-FV DCS45597</t>
  </si>
  <si>
    <t>Community ConnectionsCPP-FV FF45597</t>
  </si>
  <si>
    <t>Foundations for Home &amp; CommunityCPP-FV DCS45597</t>
  </si>
  <si>
    <t>Marys CenterCPP-FV DCS45597</t>
  </si>
  <si>
    <t>Marys CenterCPP-FV FF45597</t>
  </si>
  <si>
    <t>PIECECPP-FV DCS45597</t>
  </si>
  <si>
    <t>PIECECPP-FV FF45597</t>
  </si>
  <si>
    <t>Medstar GeorgetownCPP-FV DCS45597</t>
  </si>
  <si>
    <t>Medstar GeorgetownCPP-FV FF45597</t>
  </si>
  <si>
    <t>Better MorningsFFT FF45597</t>
  </si>
  <si>
    <t>CatholicFFT FF45597</t>
  </si>
  <si>
    <t>First Home CareFFT FF45597</t>
  </si>
  <si>
    <t>Foundations for Home &amp; CommunityFFT FF45597</t>
  </si>
  <si>
    <t>HillcrestFFT FF45597</t>
  </si>
  <si>
    <t>PASSFFT FF45597</t>
  </si>
  <si>
    <t>Better MorningsIHCBS FF45597</t>
  </si>
  <si>
    <t>HillcrestIHCBS FF45597</t>
  </si>
  <si>
    <t>LESIHCBS FF45597</t>
  </si>
  <si>
    <t>MBI HSIHCBS FF45597</t>
  </si>
  <si>
    <t>MD Family ResourcesIHCBS FF45597</t>
  </si>
  <si>
    <t>UmbrellaIHCBS FF45597</t>
  </si>
  <si>
    <t>UmbrellaIHCBS</t>
  </si>
  <si>
    <t>LCSMST FF45597</t>
  </si>
  <si>
    <t>MBI HSMST FF45597</t>
  </si>
  <si>
    <t>Youth VillagesMST FF45597</t>
  </si>
  <si>
    <t>Youth VillagesMST-PSB FF45597</t>
  </si>
  <si>
    <t>Marys CenterPCIT FF45597</t>
  </si>
  <si>
    <t>PIECEPCIT FF45597</t>
  </si>
  <si>
    <t>Marys CenterPCIT DCS45597</t>
  </si>
  <si>
    <t>PIECEPCIT DCS45597</t>
  </si>
  <si>
    <t>Community ConnectionsPCIT DCS45597</t>
  </si>
  <si>
    <t>Community ConnectionsPCIT FF45597</t>
  </si>
  <si>
    <t>Medstar GeorgetownPCIT DCS45597</t>
  </si>
  <si>
    <t>Medstar GeorgetownPCIT FF45597</t>
  </si>
  <si>
    <t>Marys CenterPCIT-T FF45597</t>
  </si>
  <si>
    <t>PIECEPCIT-T FF45597</t>
  </si>
  <si>
    <t>Community ConnectionsTF-CBT FF45597</t>
  </si>
  <si>
    <t>First Home CareTF-CBT FF45597</t>
  </si>
  <si>
    <t>Foundations for Home &amp; CommunityTF-CBT FF45597</t>
  </si>
  <si>
    <t>HillcrestTF-CBT FF45597</t>
  </si>
  <si>
    <t>LAYCTF-CBT FF45597</t>
  </si>
  <si>
    <t>LESTF-CBT FF45597</t>
  </si>
  <si>
    <t>MD Family ResourcesTF-CBT FF45597</t>
  </si>
  <si>
    <t>UniversalTF-CBT FF45597</t>
  </si>
  <si>
    <t>Community ConnectionsTIP FF45597</t>
  </si>
  <si>
    <t>ContemporaryTIP FF45597</t>
  </si>
  <si>
    <t>FPSTIP FF45597</t>
  </si>
  <si>
    <t>Green DoorTIP FF45597</t>
  </si>
  <si>
    <t>LESTIP FF45597</t>
  </si>
  <si>
    <t>MBI HSTIP FF45597</t>
  </si>
  <si>
    <t>PASSTIP FF45597</t>
  </si>
  <si>
    <t>TFCCTIP FF45597</t>
  </si>
  <si>
    <t>UmbrellaTIP FF45597</t>
  </si>
  <si>
    <t>UniversalTIP FF45597</t>
  </si>
  <si>
    <t>Wayne PlaceTIP FF45597</t>
  </si>
  <si>
    <t>Adoptions TogetherTST FF45597</t>
  </si>
  <si>
    <t>ContemporaryTST FF45597</t>
  </si>
  <si>
    <t>Family MattersTST FF45597</t>
  </si>
  <si>
    <t>First Home CareTST FF45597</t>
  </si>
  <si>
    <t>Foundations for Home &amp; CommunityTST FF45597</t>
  </si>
  <si>
    <t>HillcrestTST FF45597</t>
  </si>
  <si>
    <t>MD Family ResourcesTST FF45597</t>
  </si>
  <si>
    <t>DBH Parent SupportABC Combined45597</t>
  </si>
  <si>
    <t>Healthy FuturesABC Combined45597</t>
  </si>
  <si>
    <t>Marys CenterABC Combined45597</t>
  </si>
  <si>
    <t>Medstar GeorgetownABC Combined45597</t>
  </si>
  <si>
    <t>PIECEABC Combined45597</t>
  </si>
  <si>
    <t>Federal CityA-CRA Combined45597</t>
  </si>
  <si>
    <t>HillcrestA-CRA Combined45597</t>
  </si>
  <si>
    <t>LAYCA-CRA Combined45597</t>
  </si>
  <si>
    <t>RiversideA-CRA Combined45597</t>
  </si>
  <si>
    <t>Adoptions TogetherCPP-FV Combined45597</t>
  </si>
  <si>
    <t>Foundations for Home &amp; CommunityCPP-FV Combined45597</t>
  </si>
  <si>
    <t>Medstar GeorgetownCPP-FV Combined45597</t>
  </si>
  <si>
    <t>Better MorningsFFT Combined45597</t>
  </si>
  <si>
    <t>CatholicFFT Combined45597</t>
  </si>
  <si>
    <t>First Home CareFFT Combined45597</t>
  </si>
  <si>
    <t>Foundations for Home &amp; CommunityFFT Combined45597</t>
  </si>
  <si>
    <t>HillcrestFFT Combined45597</t>
  </si>
  <si>
    <t>PASSFFT Combined45597</t>
  </si>
  <si>
    <t>Better MorningsIHCBS Combined45597</t>
  </si>
  <si>
    <t>HillcrestIHCBS Combined45597</t>
  </si>
  <si>
    <t>LESIHCBS Combined45597</t>
  </si>
  <si>
    <t>MBI HSIHCBS Combined45597</t>
  </si>
  <si>
    <t>MD Family ResourcesIHCBS Combined45597</t>
  </si>
  <si>
    <t>UmbrellaIHCBS Combined45597</t>
  </si>
  <si>
    <t>LCSMST Combined45597</t>
  </si>
  <si>
    <t>MBI HSMST Combined45597</t>
  </si>
  <si>
    <t>Youth VillagesMST Combined45597</t>
  </si>
  <si>
    <t>Youth VillagesMST-PSB Combined45597</t>
  </si>
  <si>
    <t>Medstar GeorgetownPCIT Combined45597</t>
  </si>
  <si>
    <t>Marys CenterPCIT-T Combined45597</t>
  </si>
  <si>
    <t>PIECEPCIT-T Combined45597</t>
  </si>
  <si>
    <t>Community ConnectionsTF-CBT Combined45597</t>
  </si>
  <si>
    <t>First Home CareTF-CBT Combined45597</t>
  </si>
  <si>
    <t>Foundations for Home &amp; CommunityTF-CBT Combined45597</t>
  </si>
  <si>
    <t>HillcrestTF-CBT Combined45597</t>
  </si>
  <si>
    <t>LAYCTF-CBT Combined45597</t>
  </si>
  <si>
    <t>LESTF-CBT Combined45597</t>
  </si>
  <si>
    <t>MD Family ResourcesTF-CBT Combined45597</t>
  </si>
  <si>
    <t>UniversalTF-CBT Combined45597</t>
  </si>
  <si>
    <t>Community ConnectionsTIP Combined45597</t>
  </si>
  <si>
    <t>ContemporaryTIP Combined45597</t>
  </si>
  <si>
    <t>FPSTIP Combined45597</t>
  </si>
  <si>
    <t>Green DoorTIP Combined45597</t>
  </si>
  <si>
    <t>LESTIP Combined45597</t>
  </si>
  <si>
    <t>MBI HSTIP Combined45597</t>
  </si>
  <si>
    <t>PASSTIP Combined45597</t>
  </si>
  <si>
    <t>TFCCTIP Combined45597</t>
  </si>
  <si>
    <t>UmbrellaTIP Combined45597</t>
  </si>
  <si>
    <t>UniversalTIP Combined45597</t>
  </si>
  <si>
    <t>Wayne PlaceTIP Combined45597</t>
  </si>
  <si>
    <t>Adoptions TogetherTST Combined45597</t>
  </si>
  <si>
    <t>ContemporaryTST Combined45597</t>
  </si>
  <si>
    <t>Family MattersTST Combined45597</t>
  </si>
  <si>
    <t>First Home CareTST Combined45597</t>
  </si>
  <si>
    <t>Foundations for Home &amp; CommunityTST Combined45597</t>
  </si>
  <si>
    <t>HillcrestTST Combined45597</t>
  </si>
  <si>
    <t>MD Family ResourcesTST Combined45597</t>
  </si>
  <si>
    <t>Marys CenterCPP-FV Combined45597</t>
  </si>
  <si>
    <t>PIECECPP-FV Combined45597</t>
  </si>
  <si>
    <t>Community ConnectionsCPP-FV Combined45597</t>
  </si>
  <si>
    <t>Community ConnectionsPCIT Combined45597</t>
  </si>
  <si>
    <t>Marys CenterPCIT Combined45597</t>
  </si>
  <si>
    <t>PIECEPCIT Combined45597</t>
  </si>
  <si>
    <t>CatholicAll FF45597</t>
  </si>
  <si>
    <t>ContemporaryAll FF45597</t>
  </si>
  <si>
    <t>DBH Parent SupportAll FF45597</t>
  </si>
  <si>
    <t>Family MattersAll FF45597</t>
  </si>
  <si>
    <t>Federal City All FF45597</t>
  </si>
  <si>
    <t>First Home CareAll FF45597</t>
  </si>
  <si>
    <t>Foundations for Home &amp; CommunityAll FF45597</t>
  </si>
  <si>
    <t>FPSAll FF45597</t>
  </si>
  <si>
    <t>Green DoorAll FF45597</t>
  </si>
  <si>
    <t>Healthy FuturesAll FF45597</t>
  </si>
  <si>
    <t>HillcrestAll FF45597</t>
  </si>
  <si>
    <t>LAYCAll FF45597</t>
  </si>
  <si>
    <t>LCSAll FF45597</t>
  </si>
  <si>
    <t>LESAll FF45597</t>
  </si>
  <si>
    <t>MBI HSAll FF45597</t>
  </si>
  <si>
    <t>MD Family ResourcesAll FF45597</t>
  </si>
  <si>
    <t>PASSAll FF45597</t>
  </si>
  <si>
    <t>RiversideAll FF45597</t>
  </si>
  <si>
    <t>TFCCAll FF45597</t>
  </si>
  <si>
    <t>UmbrellaAll FF45597</t>
  </si>
  <si>
    <t>UniversalAll FF45597</t>
  </si>
  <si>
    <t>Wayne PlaceAll FF45597</t>
  </si>
  <si>
    <t>Youth VillagesAll FF45597</t>
  </si>
  <si>
    <t>Medstar GeorgetownAll DCS45597</t>
  </si>
  <si>
    <t>Medstar GeorgetownAll FF45597</t>
  </si>
  <si>
    <t>Community ConnectionsAll FF45597</t>
  </si>
  <si>
    <t>Community ConnectionsAll DCS45597</t>
  </si>
  <si>
    <t>Marys CenterAll FF45597</t>
  </si>
  <si>
    <t>Marys CenterAll DCS45597</t>
  </si>
  <si>
    <t>PIECEAll FF45597</t>
  </si>
  <si>
    <t>PIECEAll DCS45597</t>
  </si>
  <si>
    <t>Adoptions TogetherAll Combined45597</t>
  </si>
  <si>
    <t>Better MorningsAll Combined45597</t>
  </si>
  <si>
    <t>CatholicAll Combined45597</t>
  </si>
  <si>
    <t>Community ConnectionsAll Combined45597</t>
  </si>
  <si>
    <t>ContemporaryAll Combined45597</t>
  </si>
  <si>
    <t>DBH Family SupportAll Combined45597</t>
  </si>
  <si>
    <t>Family MattersAll Combined45597</t>
  </si>
  <si>
    <t>Federal CityAll Combined45597</t>
  </si>
  <si>
    <t>First Home CareAll Combined45597</t>
  </si>
  <si>
    <t>Foundations for Home &amp; CommunityAll Combined45597</t>
  </si>
  <si>
    <t>FPSAll Combined45597</t>
  </si>
  <si>
    <t>Green DoorAll Combined45597</t>
  </si>
  <si>
    <t>Healthy FuturesAll Combined45597</t>
  </si>
  <si>
    <t>HillcrestAll Combined45597</t>
  </si>
  <si>
    <t>LAYCAll Combined45597</t>
  </si>
  <si>
    <t>LCSAll Combined45597</t>
  </si>
  <si>
    <t>LESAll Combined45597</t>
  </si>
  <si>
    <t>Marys CenterAll Combined45597</t>
  </si>
  <si>
    <t>MBI HSAll Combined45597</t>
  </si>
  <si>
    <t>MD Family ResourcesAll Combined45597</t>
  </si>
  <si>
    <t>Medstar GeorgetownAll Combined45597</t>
  </si>
  <si>
    <t>PASSAll Combined45597</t>
  </si>
  <si>
    <t>PIECEAll Combined45597</t>
  </si>
  <si>
    <t>RiversideAll Combined45597</t>
  </si>
  <si>
    <t>TFCCAll Combined45597</t>
  </si>
  <si>
    <t>UmbrellaAll Combined45597</t>
  </si>
  <si>
    <t>UniversalAll Combined45597</t>
  </si>
  <si>
    <t>Wayne PlaceAll Combined45597</t>
  </si>
  <si>
    <t>Youth VillagesAll Combined45597</t>
  </si>
  <si>
    <t>All ABC ProvidersABC FF45597</t>
  </si>
  <si>
    <t>All ABC ProvidersABC Combined45597</t>
  </si>
  <si>
    <t>All A-CRA ProvidersA-CRA FF45597</t>
  </si>
  <si>
    <t>All A-CRA ProvidersA-CRA Combined45597</t>
  </si>
  <si>
    <t>All CPP-FV ProvidersCPP-FV FF45597</t>
  </si>
  <si>
    <t>All CPP-FV ProvidersCPP-FV DCS45597</t>
  </si>
  <si>
    <t>All CPP-FV ProvidersCPP-FV Combined45597</t>
  </si>
  <si>
    <t>All FFT ProvidersFFT FF45597</t>
  </si>
  <si>
    <t>All FFT ProvidersFFT Combined45597</t>
  </si>
  <si>
    <t>All IHCBS ProvidersIHCBS FF45597</t>
  </si>
  <si>
    <t>All IHCBS ProvidersIHCBS Combined45597</t>
  </si>
  <si>
    <t>All MST ProvidersMST FF45597</t>
  </si>
  <si>
    <t>All MST ProvidersMST Combined45597</t>
  </si>
  <si>
    <t>All MST-PSB ProvidersMST-PSB FF45597</t>
  </si>
  <si>
    <t>All MST-PSB ProvidersMST-PSB Combined45597</t>
  </si>
  <si>
    <t>All PCIT ProvidersPCIT FF45597</t>
  </si>
  <si>
    <t>All PCIT ProvidersPCIT DCS45597</t>
  </si>
  <si>
    <t>All PCIT ProvidersPCIT Combined45597</t>
  </si>
  <si>
    <t>All PCIT-T ProvidersPCIT-T FF45597</t>
  </si>
  <si>
    <t>All PCIT-T ProvidersPCIT-T Combined45597</t>
  </si>
  <si>
    <t>All SFCR ProvidersSFCR FF45597</t>
  </si>
  <si>
    <t>All SFCR ProvidersSFCR Combined45597</t>
  </si>
  <si>
    <t>All TF-CBT ProvidersTF-CBT FF45597</t>
  </si>
  <si>
    <t>All TF-CBT ProvidersTF-CBT Combined45597</t>
  </si>
  <si>
    <t>All TIP ProvidersTIP FF45597</t>
  </si>
  <si>
    <t>All TIP ProvidersTIP Combined45597</t>
  </si>
  <si>
    <t>All TST ProvidersTST FF45597</t>
  </si>
  <si>
    <t>All TST ProvidersTST Combined45597</t>
  </si>
  <si>
    <t>Families First ProvidersAll FF45597</t>
  </si>
  <si>
    <t>DC Seed ProvidersAll DCS45597</t>
  </si>
  <si>
    <t>Trauma ProvidersAll FF45597</t>
  </si>
  <si>
    <t>Trauma ProvidersAll DCS45597</t>
  </si>
  <si>
    <t>Trauma ProvidersAll Combined45597</t>
  </si>
  <si>
    <t>AllAll Combined45597</t>
  </si>
  <si>
    <t>UmbrellaIHCBS Combined</t>
  </si>
  <si>
    <t>DBH Parent SupportABC FF45627</t>
  </si>
  <si>
    <t>Healthy FuturesABC FF45627</t>
  </si>
  <si>
    <t>Marys CenterABC FF45627</t>
  </si>
  <si>
    <t>Medstar GeorgetownABC FF45627</t>
  </si>
  <si>
    <t>PIECEABC FF45627</t>
  </si>
  <si>
    <t>Federal CityA-CRA FF45627</t>
  </si>
  <si>
    <t>HillcrestA-CRA FF45627</t>
  </si>
  <si>
    <t>LAYCA-CRA FF45627</t>
  </si>
  <si>
    <t>RiversideA-CRA FF45627</t>
  </si>
  <si>
    <t>Adoptions TogetherCPP-FV FF45627</t>
  </si>
  <si>
    <t>Community ConnectionsCPP-FV DCS45627</t>
  </si>
  <si>
    <t>Community ConnectionsCPP-FV FF45627</t>
  </si>
  <si>
    <t>Foundations for Home &amp; CommunityCPP-FV DCS45627</t>
  </si>
  <si>
    <t>Marys CenterCPP-FV DCS45627</t>
  </si>
  <si>
    <t>Marys CenterCPP-FV FF45627</t>
  </si>
  <si>
    <t>PIECECPP-FV DCS45627</t>
  </si>
  <si>
    <t>PIECECPP-FV FF45627</t>
  </si>
  <si>
    <t>Medstar GeorgetownCPP-FV DCS45627</t>
  </si>
  <si>
    <t>Medstar GeorgetownCPP-FV FF45627</t>
  </si>
  <si>
    <t>Better MorningsFFT FF45627</t>
  </si>
  <si>
    <t>CatholicFFT FF45627</t>
  </si>
  <si>
    <t>First Home CareFFT FF45627</t>
  </si>
  <si>
    <t>Foundations for Home &amp; CommunityFFT FF45627</t>
  </si>
  <si>
    <t>HillcrestFFT FF45627</t>
  </si>
  <si>
    <t>PASSFFT FF45627</t>
  </si>
  <si>
    <t>Better MorningsIHCBS FF45627</t>
  </si>
  <si>
    <t>HillcrestIHCBS FF45627</t>
  </si>
  <si>
    <t>LESIHCBS FF45627</t>
  </si>
  <si>
    <t>MBI HSIHCBS FF45627</t>
  </si>
  <si>
    <t>MD Family ResourcesIHCBS FF45627</t>
  </si>
  <si>
    <t>UmbrellaIHCBS FF45627</t>
  </si>
  <si>
    <t>LCSMST FF45627</t>
  </si>
  <si>
    <t>MBI HSMST FF45627</t>
  </si>
  <si>
    <t>Youth VillagesMST FF45627</t>
  </si>
  <si>
    <t>Youth VillagesMST-PSB FF45627</t>
  </si>
  <si>
    <t>Marys CenterPCIT FF45627</t>
  </si>
  <si>
    <t>PIECEPCIT FF45627</t>
  </si>
  <si>
    <t>Marys CenterPCIT DCS45627</t>
  </si>
  <si>
    <t>PIECEPCIT DCS45627</t>
  </si>
  <si>
    <t>Community ConnectionsPCIT DCS45627</t>
  </si>
  <si>
    <t>Community ConnectionsPCIT FF45627</t>
  </si>
  <si>
    <t>Medstar GeorgetownPCIT DCS45627</t>
  </si>
  <si>
    <t>Medstar GeorgetownPCIT FF45627</t>
  </si>
  <si>
    <t>Marys CenterPCIT-T FF45627</t>
  </si>
  <si>
    <t>PIECEPCIT-T FF45627</t>
  </si>
  <si>
    <t>Community ConnectionsTF-CBT FF45627</t>
  </si>
  <si>
    <t>First Home CareTF-CBT FF45627</t>
  </si>
  <si>
    <t>Foundations for Home &amp; CommunityTF-CBT FF45627</t>
  </si>
  <si>
    <t>HillcrestTF-CBT FF45627</t>
  </si>
  <si>
    <t>LAYCTF-CBT FF45627</t>
  </si>
  <si>
    <t>LESTF-CBT FF45627</t>
  </si>
  <si>
    <t>MD Family ResourcesTF-CBT FF45627</t>
  </si>
  <si>
    <t>UniversalTF-CBT FF45627</t>
  </si>
  <si>
    <t>Community ConnectionsTIP FF45627</t>
  </si>
  <si>
    <t>ContemporaryTIP FF45627</t>
  </si>
  <si>
    <t>FPSTIP FF45627</t>
  </si>
  <si>
    <t>Green DoorTIP FF45627</t>
  </si>
  <si>
    <t>LESTIP FF45627</t>
  </si>
  <si>
    <t>MBI HSTIP FF45627</t>
  </si>
  <si>
    <t>PASSTIP FF45627</t>
  </si>
  <si>
    <t>TFCCTIP FF45627</t>
  </si>
  <si>
    <t>UmbrellaTIP FF45627</t>
  </si>
  <si>
    <t>UniversalTIP FF45627</t>
  </si>
  <si>
    <t>Wayne PlaceTIP FF45627</t>
  </si>
  <si>
    <t>Adoptions TogetherTST FF45627</t>
  </si>
  <si>
    <t>ContemporaryTST FF45627</t>
  </si>
  <si>
    <t>Family MattersTST FF45627</t>
  </si>
  <si>
    <t>First Home CareTST FF45627</t>
  </si>
  <si>
    <t>Foundations for Home &amp; CommunityTST FF45627</t>
  </si>
  <si>
    <t>HillcrestTST FF45627</t>
  </si>
  <si>
    <t>MD Family ResourcesTST FF45627</t>
  </si>
  <si>
    <t>DBH Parent SupportABC Combined45627</t>
  </si>
  <si>
    <t>Healthy FuturesABC Combined45627</t>
  </si>
  <si>
    <t>Marys CenterABC Combined45627</t>
  </si>
  <si>
    <t>Medstar GeorgetownABC Combined45627</t>
  </si>
  <si>
    <t>PIECEABC Combined45627</t>
  </si>
  <si>
    <t>Federal CityA-CRA Combined45627</t>
  </si>
  <si>
    <t>HillcrestA-CRA Combined45627</t>
  </si>
  <si>
    <t>LAYCA-CRA Combined45627</t>
  </si>
  <si>
    <t>RiversideA-CRA Combined45627</t>
  </si>
  <si>
    <t>Adoptions TogetherCPP-FV Combined45627</t>
  </si>
  <si>
    <t>Foundations for Home &amp; CommunityCPP-FV Combined45627</t>
  </si>
  <si>
    <t>Medstar GeorgetownCPP-FV Combined45627</t>
  </si>
  <si>
    <t>Better MorningsFFT Combined45627</t>
  </si>
  <si>
    <t>CatholicFFT Combined45627</t>
  </si>
  <si>
    <t>First Home CareFFT Combined45627</t>
  </si>
  <si>
    <t>Foundations for Home &amp; CommunityFFT Combined45627</t>
  </si>
  <si>
    <t>HillcrestFFT Combined45627</t>
  </si>
  <si>
    <t>PASSFFT Combined45627</t>
  </si>
  <si>
    <t>Better MorningsIHCBS Combined45627</t>
  </si>
  <si>
    <t>HillcrestIHCBS Combined45627</t>
  </si>
  <si>
    <t>LESIHCBS Combined45627</t>
  </si>
  <si>
    <t>MBI HSIHCBS Combined45627</t>
  </si>
  <si>
    <t>MD Family ResourcesIHCBS Combined45627</t>
  </si>
  <si>
    <t>UmbrellaIHCBS Combined45627</t>
  </si>
  <si>
    <t>LCSMST Combined45627</t>
  </si>
  <si>
    <t>MBI HSMST Combined45627</t>
  </si>
  <si>
    <t>Youth VillagesMST Combined45627</t>
  </si>
  <si>
    <t>Youth VillagesMST-PSB Combined45627</t>
  </si>
  <si>
    <t>Medstar GeorgetownPCIT Combined45627</t>
  </si>
  <si>
    <t>Marys CenterPCIT-T Combined45627</t>
  </si>
  <si>
    <t>PIECEPCIT-T Combined45627</t>
  </si>
  <si>
    <t>Community ConnectionsTF-CBT Combined45627</t>
  </si>
  <si>
    <t>First Home CareTF-CBT Combined45627</t>
  </si>
  <si>
    <t>Foundations for Home &amp; CommunityTF-CBT Combined45627</t>
  </si>
  <si>
    <t>HillcrestTF-CBT Combined45627</t>
  </si>
  <si>
    <t>LAYCTF-CBT Combined45627</t>
  </si>
  <si>
    <t>LESTF-CBT Combined45627</t>
  </si>
  <si>
    <t>MD Family ResourcesTF-CBT Combined45627</t>
  </si>
  <si>
    <t>UniversalTF-CBT Combined45627</t>
  </si>
  <si>
    <t>Community ConnectionsTIP Combined45627</t>
  </si>
  <si>
    <t>ContemporaryTIP Combined45627</t>
  </si>
  <si>
    <t>FPSTIP Combined45627</t>
  </si>
  <si>
    <t>Green DoorTIP Combined45627</t>
  </si>
  <si>
    <t>LESTIP Combined45627</t>
  </si>
  <si>
    <t>MBI HSTIP Combined45627</t>
  </si>
  <si>
    <t>PASSTIP Combined45627</t>
  </si>
  <si>
    <t>TFCCTIP Combined45627</t>
  </si>
  <si>
    <t>UmbrellaTIP Combined45627</t>
  </si>
  <si>
    <t>UniversalTIP Combined45627</t>
  </si>
  <si>
    <t>Wayne PlaceTIP Combined45627</t>
  </si>
  <si>
    <t>Adoptions TogetherTST Combined45627</t>
  </si>
  <si>
    <t>ContemporaryTST Combined45627</t>
  </si>
  <si>
    <t>Family MattersTST Combined45627</t>
  </si>
  <si>
    <t>First Home CareTST Combined45627</t>
  </si>
  <si>
    <t>Foundations for Home &amp; CommunityTST Combined45627</t>
  </si>
  <si>
    <t>HillcrestTST Combined45627</t>
  </si>
  <si>
    <t>MD Family ResourcesTST Combined45627</t>
  </si>
  <si>
    <t>Marys CenterCPP-FV Combined45627</t>
  </si>
  <si>
    <t>PIECECPP-FV Combined45627</t>
  </si>
  <si>
    <t>Community ConnectionsCPP-FV Combined45627</t>
  </si>
  <si>
    <t>Community ConnectionsPCIT Combined45627</t>
  </si>
  <si>
    <t>Marys CenterPCIT Combined45627</t>
  </si>
  <si>
    <t>PIECEPCIT Combined45627</t>
  </si>
  <si>
    <t>CatholicAll FF45627</t>
  </si>
  <si>
    <t>ContemporaryAll FF45627</t>
  </si>
  <si>
    <t>DBH Parent SupportAll FF45627</t>
  </si>
  <si>
    <t>Family MattersAll FF45627</t>
  </si>
  <si>
    <t>Federal City All FF45627</t>
  </si>
  <si>
    <t>First Home CareAll FF45627</t>
  </si>
  <si>
    <t>Foundations for Home &amp; CommunityAll FF45627</t>
  </si>
  <si>
    <t>FPSAll FF45627</t>
  </si>
  <si>
    <t>Green DoorAll FF45627</t>
  </si>
  <si>
    <t>Healthy FuturesAll FF45627</t>
  </si>
  <si>
    <t>HillcrestAll FF45627</t>
  </si>
  <si>
    <t>LAYCAll FF45627</t>
  </si>
  <si>
    <t>LCSAll FF45627</t>
  </si>
  <si>
    <t>LESAll FF45627</t>
  </si>
  <si>
    <t>MBI HSAll FF45627</t>
  </si>
  <si>
    <t>MD Family ResourcesAll FF45627</t>
  </si>
  <si>
    <t>PASSAll FF45627</t>
  </si>
  <si>
    <t>RiversideAll FF45627</t>
  </si>
  <si>
    <t>TFCCAll FF45627</t>
  </si>
  <si>
    <t>UmbrellaAll FF45627</t>
  </si>
  <si>
    <t>UniversalAll FF45627</t>
  </si>
  <si>
    <t>Wayne PlaceAll FF45627</t>
  </si>
  <si>
    <t>Youth VillagesAll FF45627</t>
  </si>
  <si>
    <t>Medstar GeorgetownAll DCS45627</t>
  </si>
  <si>
    <t>Medstar GeorgetownAll FF45627</t>
  </si>
  <si>
    <t>Community ConnectionsAll FF45627</t>
  </si>
  <si>
    <t>Community ConnectionsAll DCS45627</t>
  </si>
  <si>
    <t>Marys CenterAll FF45627</t>
  </si>
  <si>
    <t>Marys CenterAll DCS45627</t>
  </si>
  <si>
    <t>PIECEAll FF45627</t>
  </si>
  <si>
    <t>PIECEAll DCS45627</t>
  </si>
  <si>
    <t>Adoptions TogetherAll Combined45627</t>
  </si>
  <si>
    <t>Better MorningsAll Combined45627</t>
  </si>
  <si>
    <t>CatholicAll Combined45627</t>
  </si>
  <si>
    <t>Community ConnectionsAll Combined45627</t>
  </si>
  <si>
    <t>ContemporaryAll Combined45627</t>
  </si>
  <si>
    <t>DBH Family SupportAll Combined45627</t>
  </si>
  <si>
    <t>Family MattersAll Combined45627</t>
  </si>
  <si>
    <t>Federal CityAll Combined45627</t>
  </si>
  <si>
    <t>First Home CareAll Combined45627</t>
  </si>
  <si>
    <t>Foundations for Home &amp; CommunityAll Combined45627</t>
  </si>
  <si>
    <t>FPSAll Combined45627</t>
  </si>
  <si>
    <t>Green DoorAll Combined45627</t>
  </si>
  <si>
    <t>Healthy FuturesAll Combined45627</t>
  </si>
  <si>
    <t>HillcrestAll Combined45627</t>
  </si>
  <si>
    <t>LAYCAll Combined45627</t>
  </si>
  <si>
    <t>LCSAll Combined45627</t>
  </si>
  <si>
    <t>LESAll Combined45627</t>
  </si>
  <si>
    <t>Marys CenterAll Combined45627</t>
  </si>
  <si>
    <t>MBI HSAll Combined45627</t>
  </si>
  <si>
    <t>MD Family ResourcesAll Combined45627</t>
  </si>
  <si>
    <t>Medstar GeorgetownAll Combined45627</t>
  </si>
  <si>
    <t>PASSAll Combined45627</t>
  </si>
  <si>
    <t>PIECEAll Combined45627</t>
  </si>
  <si>
    <t>RiversideAll Combined45627</t>
  </si>
  <si>
    <t>TFCCAll Combined45627</t>
  </si>
  <si>
    <t>UmbrellaAll Combined45627</t>
  </si>
  <si>
    <t>UniversalAll Combined45627</t>
  </si>
  <si>
    <t>Wayne PlaceAll Combined45627</t>
  </si>
  <si>
    <t>Youth VillagesAll Combined45627</t>
  </si>
  <si>
    <t>All ABC ProvidersABC FF45627</t>
  </si>
  <si>
    <t>All ABC ProvidersABC Combined45627</t>
  </si>
  <si>
    <t>All A-CRA ProvidersA-CRA FF45627</t>
  </si>
  <si>
    <t>All A-CRA ProvidersA-CRA Combined45627</t>
  </si>
  <si>
    <t>All CPP-FV ProvidersCPP-FV FF45627</t>
  </si>
  <si>
    <t>All CPP-FV ProvidersCPP-FV DCS45627</t>
  </si>
  <si>
    <t>All CPP-FV ProvidersCPP-FV Combined45627</t>
  </si>
  <si>
    <t>All FFT ProvidersFFT FF45627</t>
  </si>
  <si>
    <t>All FFT ProvidersFFT Combined45627</t>
  </si>
  <si>
    <t>All IHCBS ProvidersIHCBS FF45627</t>
  </si>
  <si>
    <t>All IHCBS ProvidersIHCBS Combined45627</t>
  </si>
  <si>
    <t>All MST ProvidersMST FF45627</t>
  </si>
  <si>
    <t>All MST ProvidersMST Combined45627</t>
  </si>
  <si>
    <t>All MST-PSB ProvidersMST-PSB FF45627</t>
  </si>
  <si>
    <t>All MST-PSB ProvidersMST-PSB Combined45627</t>
  </si>
  <si>
    <t>All PCIT ProvidersPCIT FF45627</t>
  </si>
  <si>
    <t>All PCIT ProvidersPCIT DCS45627</t>
  </si>
  <si>
    <t>All PCIT ProvidersPCIT Combined45627</t>
  </si>
  <si>
    <t>All PCIT-T ProvidersPCIT-T FF45627</t>
  </si>
  <si>
    <t>All PCIT-T ProvidersPCIT-T Combined45627</t>
  </si>
  <si>
    <t>All SFCR ProvidersSFCR FF45627</t>
  </si>
  <si>
    <t>All SFCR ProvidersSFCR Combined45627</t>
  </si>
  <si>
    <t>All TF-CBT ProvidersTF-CBT FF45627</t>
  </si>
  <si>
    <t>All TF-CBT ProvidersTF-CBT Combined45627</t>
  </si>
  <si>
    <t>All TIP ProvidersTIP FF45627</t>
  </si>
  <si>
    <t>All TIP ProvidersTIP Combined45627</t>
  </si>
  <si>
    <t>All TST ProvidersTST FF45627</t>
  </si>
  <si>
    <t>All TST ProvidersTST Combined45627</t>
  </si>
  <si>
    <t>Families First ProvidersAll FF45627</t>
  </si>
  <si>
    <t>DC Seed ProvidersAll DCS45627</t>
  </si>
  <si>
    <t>Trauma ProvidersAll FF45627</t>
  </si>
  <si>
    <t>Trauma ProvidersAll DCS45627</t>
  </si>
  <si>
    <t>Trauma ProvidersAll Combined45627</t>
  </si>
  <si>
    <t>AllAll Combined45627</t>
  </si>
  <si>
    <t>DBH Parent SupportABC FF45658</t>
  </si>
  <si>
    <t>Healthy FuturesABC FF45658</t>
  </si>
  <si>
    <t>Marys CenterABC FF45658</t>
  </si>
  <si>
    <t>Medstar GeorgetownABC FF45658</t>
  </si>
  <si>
    <t>PIECEABC FF45658</t>
  </si>
  <si>
    <t>Federal CityA-CRA FF45658</t>
  </si>
  <si>
    <t>HillcrestA-CRA FF45658</t>
  </si>
  <si>
    <t>LAYCA-CRA FF45658</t>
  </si>
  <si>
    <t>RiversideA-CRA FF45658</t>
  </si>
  <si>
    <t>Adoptions TogetherCPP-FV FF45658</t>
  </si>
  <si>
    <t>Community ConnectionsCPP-FV DCS45658</t>
  </si>
  <si>
    <t>Community ConnectionsCPP-FV FF45658</t>
  </si>
  <si>
    <t>Foundations for Home &amp; CommunityCPP-FV DCS45658</t>
  </si>
  <si>
    <t>Marys CenterCPP-FV DCS45658</t>
  </si>
  <si>
    <t>Marys CenterCPP-FV FF45658</t>
  </si>
  <si>
    <t>PIECECPP-FV DCS45658</t>
  </si>
  <si>
    <t>PIECECPP-FV FF45658</t>
  </si>
  <si>
    <t>Medstar GeorgetownCPP-FV DCS45658</t>
  </si>
  <si>
    <t>Medstar GeorgetownCPP-FV FF45658</t>
  </si>
  <si>
    <t>Better MorningsFFT FF45658</t>
  </si>
  <si>
    <t>CatholicFFT FF45658</t>
  </si>
  <si>
    <t>First Home CareFFT FF45658</t>
  </si>
  <si>
    <t>Foundations for Home &amp; CommunityFFT FF45658</t>
  </si>
  <si>
    <t>HillcrestFFT FF45658</t>
  </si>
  <si>
    <t>PASSFFT FF45658</t>
  </si>
  <si>
    <t>Better MorningsIHCBS FF45658</t>
  </si>
  <si>
    <t>HillcrestIHCBS FF45658</t>
  </si>
  <si>
    <t>LESIHCBS FF45658</t>
  </si>
  <si>
    <t>MBI HSIHCBS FF45658</t>
  </si>
  <si>
    <t>MD Family ResourcesIHCBS FF45658</t>
  </si>
  <si>
    <t>UmbrellaIHCBS FF45658</t>
  </si>
  <si>
    <t>LCSMST FF45658</t>
  </si>
  <si>
    <t>MBI HSMST FF45658</t>
  </si>
  <si>
    <t>Youth VillagesMST FF45658</t>
  </si>
  <si>
    <t>Youth VillagesMST-PSB FF45658</t>
  </si>
  <si>
    <t>Marys CenterPCIT FF45658</t>
  </si>
  <si>
    <t>PIECEPCIT FF45658</t>
  </si>
  <si>
    <t>Marys CenterPCIT DCS45658</t>
  </si>
  <si>
    <t>PIECEPCIT DCS45658</t>
  </si>
  <si>
    <t>Community ConnectionsPCIT DCS45658</t>
  </si>
  <si>
    <t>Community ConnectionsPCIT FF45658</t>
  </si>
  <si>
    <t>Medstar GeorgetownPCIT DCS45658</t>
  </si>
  <si>
    <t>Medstar GeorgetownPCIT FF45658</t>
  </si>
  <si>
    <t>Marys CenterPCIT-T FF45658</t>
  </si>
  <si>
    <t>PIECEPCIT-T FF45658</t>
  </si>
  <si>
    <t>Community ConnectionsTF-CBT FF45658</t>
  </si>
  <si>
    <t>First Home CareTF-CBT FF45658</t>
  </si>
  <si>
    <t>Foundations for Home &amp; CommunityTF-CBT FF45658</t>
  </si>
  <si>
    <t>HillcrestTF-CBT FF45658</t>
  </si>
  <si>
    <t>LAYCTF-CBT FF45658</t>
  </si>
  <si>
    <t>LESTF-CBT FF45658</t>
  </si>
  <si>
    <t>MD Family ResourcesTF-CBT FF45658</t>
  </si>
  <si>
    <t>UniversalTF-CBT FF45658</t>
  </si>
  <si>
    <t>Community ConnectionsTIP FF45658</t>
  </si>
  <si>
    <t>ContemporaryTIP FF45658</t>
  </si>
  <si>
    <t>FPSTIP FF45658</t>
  </si>
  <si>
    <t>Green DoorTIP FF45658</t>
  </si>
  <si>
    <t>LESTIP FF45658</t>
  </si>
  <si>
    <t>MBI HSTIP FF45658</t>
  </si>
  <si>
    <t>PASSTIP FF45658</t>
  </si>
  <si>
    <t>TFCCTIP FF45658</t>
  </si>
  <si>
    <t>UmbrellaTIP FF45658</t>
  </si>
  <si>
    <t>UniversalTIP FF45658</t>
  </si>
  <si>
    <t>Wayne PlaceTIP FF45658</t>
  </si>
  <si>
    <t>Adoptions TogetherTST FF45658</t>
  </si>
  <si>
    <t>ContemporaryTST FF45658</t>
  </si>
  <si>
    <t>Family MattersTST FF45658</t>
  </si>
  <si>
    <t>First Home CareTST FF45658</t>
  </si>
  <si>
    <t>Foundations for Home &amp; CommunityTST FF45658</t>
  </si>
  <si>
    <t>HillcrestTST FF45658</t>
  </si>
  <si>
    <t>MD Family ResourcesTST FF45658</t>
  </si>
  <si>
    <t>DBH Parent SupportABC Combined45658</t>
  </si>
  <si>
    <t>Healthy FuturesABC Combined45658</t>
  </si>
  <si>
    <t>Marys CenterABC Combined45658</t>
  </si>
  <si>
    <t>Medstar GeorgetownABC Combined45658</t>
  </si>
  <si>
    <t>PIECEABC Combined45658</t>
  </si>
  <si>
    <t>Federal CityA-CRA Combined45658</t>
  </si>
  <si>
    <t>HillcrestA-CRA Combined45658</t>
  </si>
  <si>
    <t>LAYCA-CRA Combined45658</t>
  </si>
  <si>
    <t>RiversideA-CRA Combined45658</t>
  </si>
  <si>
    <t>Adoptions TogetherCPP-FV Combined45658</t>
  </si>
  <si>
    <t>Foundations for Home &amp; CommunityCPP-FV Combined45658</t>
  </si>
  <si>
    <t>Medstar GeorgetownCPP-FV Combined45658</t>
  </si>
  <si>
    <t>Better MorningsFFT Combined45658</t>
  </si>
  <si>
    <t>CatholicFFT Combined45658</t>
  </si>
  <si>
    <t>First Home CareFFT Combined45658</t>
  </si>
  <si>
    <t>Foundations for Home &amp; CommunityFFT Combined45658</t>
  </si>
  <si>
    <t>HillcrestFFT Combined45658</t>
  </si>
  <si>
    <t>PASSFFT Combined45658</t>
  </si>
  <si>
    <t>Better MorningsIHCBS Combined45658</t>
  </si>
  <si>
    <t>HillcrestIHCBS Combined45658</t>
  </si>
  <si>
    <t>LESIHCBS Combined45658</t>
  </si>
  <si>
    <t>MBI HSIHCBS Combined45658</t>
  </si>
  <si>
    <t>MD Family ResourcesIHCBS Combined45658</t>
  </si>
  <si>
    <t>UmbrellaIHCBS Combined45658</t>
  </si>
  <si>
    <t>LCSMST Combined45658</t>
  </si>
  <si>
    <t>MBI HSMST Combined45658</t>
  </si>
  <si>
    <t>Youth VillagesMST Combined45658</t>
  </si>
  <si>
    <t>Youth VillagesMST-PSB Combined45658</t>
  </si>
  <si>
    <t>Medstar GeorgetownPCIT Combined45658</t>
  </si>
  <si>
    <t>Marys CenterPCIT-T Combined45658</t>
  </si>
  <si>
    <t>PIECEPCIT-T Combined45658</t>
  </si>
  <si>
    <t>Community ConnectionsTF-CBT Combined45658</t>
  </si>
  <si>
    <t>First Home CareTF-CBT Combined45658</t>
  </si>
  <si>
    <t>Foundations for Home &amp; CommunityTF-CBT Combined45658</t>
  </si>
  <si>
    <t>HillcrestTF-CBT Combined45658</t>
  </si>
  <si>
    <t>LAYCTF-CBT Combined45658</t>
  </si>
  <si>
    <t>LESTF-CBT Combined45658</t>
  </si>
  <si>
    <t>MD Family ResourcesTF-CBT Combined45658</t>
  </si>
  <si>
    <t>UniversalTF-CBT Combined45658</t>
  </si>
  <si>
    <t>Community ConnectionsTIP Combined45658</t>
  </si>
  <si>
    <t>ContemporaryTIP Combined45658</t>
  </si>
  <si>
    <t>FPSTIP Combined45658</t>
  </si>
  <si>
    <t>Green DoorTIP Combined45658</t>
  </si>
  <si>
    <t>LESTIP Combined45658</t>
  </si>
  <si>
    <t>MBI HSTIP Combined45658</t>
  </si>
  <si>
    <t>PASSTIP Combined45658</t>
  </si>
  <si>
    <t>TFCCTIP Combined45658</t>
  </si>
  <si>
    <t>UmbrellaTIP Combined45658</t>
  </si>
  <si>
    <t>UniversalTIP Combined45658</t>
  </si>
  <si>
    <t>Wayne PlaceTIP Combined45658</t>
  </si>
  <si>
    <t>Adoptions TogetherTST Combined45658</t>
  </si>
  <si>
    <t>ContemporaryTST Combined45658</t>
  </si>
  <si>
    <t>Family MattersTST Combined45658</t>
  </si>
  <si>
    <t>First Home CareTST Combined45658</t>
  </si>
  <si>
    <t>Foundations for Home &amp; CommunityTST Combined45658</t>
  </si>
  <si>
    <t>HillcrestTST Combined45658</t>
  </si>
  <si>
    <t>MD Family ResourcesTST Combined45658</t>
  </si>
  <si>
    <t>Marys CenterCPP-FV Combined45658</t>
  </si>
  <si>
    <t>PIECECPP-FV Combined45658</t>
  </si>
  <si>
    <t>Community ConnectionsCPP-FV Combined45658</t>
  </si>
  <si>
    <t>Community ConnectionsPCIT Combined45658</t>
  </si>
  <si>
    <t>Marys CenterPCIT Combined45658</t>
  </si>
  <si>
    <t>PIECEPCIT Combined45658</t>
  </si>
  <si>
    <t>CatholicAll FF45658</t>
  </si>
  <si>
    <t>ContemporaryAll FF45658</t>
  </si>
  <si>
    <t>DBH Parent SupportAll FF45658</t>
  </si>
  <si>
    <t>Family MattersAll FF45658</t>
  </si>
  <si>
    <t>Federal City All FF45658</t>
  </si>
  <si>
    <t>First Home CareAll FF45658</t>
  </si>
  <si>
    <t>Foundations for Home &amp; CommunityAll FF45658</t>
  </si>
  <si>
    <t>FPSAll FF45658</t>
  </si>
  <si>
    <t>Green DoorAll FF45658</t>
  </si>
  <si>
    <t>Healthy FuturesAll FF45658</t>
  </si>
  <si>
    <t>HillcrestAll FF45658</t>
  </si>
  <si>
    <t>LAYCAll FF45658</t>
  </si>
  <si>
    <t>LCSAll FF45658</t>
  </si>
  <si>
    <t>LESAll FF45658</t>
  </si>
  <si>
    <t>MBI HSAll FF45658</t>
  </si>
  <si>
    <t>MD Family ResourcesAll FF45658</t>
  </si>
  <si>
    <t>PASSAll FF45658</t>
  </si>
  <si>
    <t>RiversideAll FF45658</t>
  </si>
  <si>
    <t>TFCCAll FF45658</t>
  </si>
  <si>
    <t>UmbrellaAll FF45658</t>
  </si>
  <si>
    <t>UniversalAll FF45658</t>
  </si>
  <si>
    <t>Wayne PlaceAll FF45658</t>
  </si>
  <si>
    <t>Youth VillagesAll FF45658</t>
  </si>
  <si>
    <t>Medstar GeorgetownAll DCS45658</t>
  </si>
  <si>
    <t>Medstar GeorgetownAll FF45658</t>
  </si>
  <si>
    <t>Community ConnectionsAll FF45658</t>
  </si>
  <si>
    <t>Community ConnectionsAll DCS45658</t>
  </si>
  <si>
    <t>Marys CenterAll FF45658</t>
  </si>
  <si>
    <t>Marys CenterAll DCS45658</t>
  </si>
  <si>
    <t>PIECEAll FF45658</t>
  </si>
  <si>
    <t>PIECEAll DCS45658</t>
  </si>
  <si>
    <t>Adoptions TogetherAll Combined45658</t>
  </si>
  <si>
    <t>Better MorningsAll Combined45658</t>
  </si>
  <si>
    <t>CatholicAll Combined45658</t>
  </si>
  <si>
    <t>Community ConnectionsAll Combined45658</t>
  </si>
  <si>
    <t>ContemporaryAll Combined45658</t>
  </si>
  <si>
    <t>DBH Family SupportAll Combined45658</t>
  </si>
  <si>
    <t>Family MattersAll Combined45658</t>
  </si>
  <si>
    <t>Federal CityAll Combined45658</t>
  </si>
  <si>
    <t>First Home CareAll Combined45658</t>
  </si>
  <si>
    <t>Foundations for Home &amp; CommunityAll Combined45658</t>
  </si>
  <si>
    <t>FPSAll Combined45658</t>
  </si>
  <si>
    <t>Green DoorAll Combined45658</t>
  </si>
  <si>
    <t>Healthy FuturesAll Combined45658</t>
  </si>
  <si>
    <t>HillcrestAll Combined45658</t>
  </si>
  <si>
    <t>LAYCAll Combined45658</t>
  </si>
  <si>
    <t>LCSAll Combined45658</t>
  </si>
  <si>
    <t>LESAll Combined45658</t>
  </si>
  <si>
    <t>Marys CenterAll Combined45658</t>
  </si>
  <si>
    <t>MBI HSAll Combined45658</t>
  </si>
  <si>
    <t>MD Family ResourcesAll Combined45658</t>
  </si>
  <si>
    <t>Medstar GeorgetownAll Combined45658</t>
  </si>
  <si>
    <t>PASSAll Combined45658</t>
  </si>
  <si>
    <t>PIECEAll Combined45658</t>
  </si>
  <si>
    <t>RiversideAll Combined45658</t>
  </si>
  <si>
    <t>TFCCAll Combined45658</t>
  </si>
  <si>
    <t>UmbrellaAll Combined45658</t>
  </si>
  <si>
    <t>UniversalAll Combined45658</t>
  </si>
  <si>
    <t>Wayne PlaceAll Combined45658</t>
  </si>
  <si>
    <t>Youth VillagesAll Combined45658</t>
  </si>
  <si>
    <t>All ABC ProvidersABC FF45658</t>
  </si>
  <si>
    <t>All ABC ProvidersABC Combined45658</t>
  </si>
  <si>
    <t>All A-CRA ProvidersA-CRA FF45658</t>
  </si>
  <si>
    <t>All A-CRA ProvidersA-CRA Combined45658</t>
  </si>
  <si>
    <t>All CPP-FV ProvidersCPP-FV FF45658</t>
  </si>
  <si>
    <t>All CPP-FV ProvidersCPP-FV DCS45658</t>
  </si>
  <si>
    <t>All CPP-FV ProvidersCPP-FV Combined45658</t>
  </si>
  <si>
    <t>All FFT ProvidersFFT FF45658</t>
  </si>
  <si>
    <t>All FFT ProvidersFFT Combined45658</t>
  </si>
  <si>
    <t>All IHCBS ProvidersIHCBS FF45658</t>
  </si>
  <si>
    <t>All IHCBS ProvidersIHCBS Combined45658</t>
  </si>
  <si>
    <t>All MST ProvidersMST FF45658</t>
  </si>
  <si>
    <t>All MST ProvidersMST Combined45658</t>
  </si>
  <si>
    <t>All MST-PSB ProvidersMST-PSB FF45658</t>
  </si>
  <si>
    <t>All MST-PSB ProvidersMST-PSB Combined45658</t>
  </si>
  <si>
    <t>All PCIT ProvidersPCIT FF45658</t>
  </si>
  <si>
    <t>All PCIT ProvidersPCIT DCS45658</t>
  </si>
  <si>
    <t>All PCIT ProvidersPCIT Combined45658</t>
  </si>
  <si>
    <t>All PCIT-T ProvidersPCIT-T FF45658</t>
  </si>
  <si>
    <t>All PCIT-T ProvidersPCIT-T Combined45658</t>
  </si>
  <si>
    <t>All SFCR ProvidersSFCR FF45658</t>
  </si>
  <si>
    <t>All SFCR ProvidersSFCR Combined45658</t>
  </si>
  <si>
    <t>All TF-CBT ProvidersTF-CBT FF45658</t>
  </si>
  <si>
    <t>All TF-CBT ProvidersTF-CBT Combined45658</t>
  </si>
  <si>
    <t>All TIP ProvidersTIP FF45658</t>
  </si>
  <si>
    <t>All TIP ProvidersTIP Combined45658</t>
  </si>
  <si>
    <t>All TST ProvidersTST FF45658</t>
  </si>
  <si>
    <t>All TST ProvidersTST Combined45658</t>
  </si>
  <si>
    <t>Families First ProvidersAll FF45658</t>
  </si>
  <si>
    <t>DC Seed ProvidersAll DCS45658</t>
  </si>
  <si>
    <t>Trauma ProvidersAll FF45658</t>
  </si>
  <si>
    <t>Trauma ProvidersAll DCS45658</t>
  </si>
  <si>
    <t>Trauma ProvidersAll Combined45658</t>
  </si>
  <si>
    <t>AllAll Combined45658</t>
  </si>
  <si>
    <t>DBH Parent SupportABC FF45689</t>
  </si>
  <si>
    <t>Healthy FuturesABC FF45689</t>
  </si>
  <si>
    <t>Marys CenterABC FF45689</t>
  </si>
  <si>
    <t>Medstar GeorgetownABC FF45689</t>
  </si>
  <si>
    <t>PIECEABC FF45689</t>
  </si>
  <si>
    <t>Federal CityA-CRA FF45689</t>
  </si>
  <si>
    <t>HillcrestA-CRA FF45689</t>
  </si>
  <si>
    <t>LAYCA-CRA FF45689</t>
  </si>
  <si>
    <t>RiversideA-CRA FF45689</t>
  </si>
  <si>
    <t>Adoptions TogetherCPP-FV FF45689</t>
  </si>
  <si>
    <t>Community ConnectionsCPP-FV DCS45689</t>
  </si>
  <si>
    <t>Community ConnectionsCPP-FV FF45689</t>
  </si>
  <si>
    <t>Foundations for Home &amp; CommunityCPP-FV DCS45689</t>
  </si>
  <si>
    <t>Marys CenterCPP-FV DCS45689</t>
  </si>
  <si>
    <t>Marys CenterCPP-FV FF45689</t>
  </si>
  <si>
    <t>PIECECPP-FV DCS45689</t>
  </si>
  <si>
    <t>PIECECPP-FV FF45689</t>
  </si>
  <si>
    <t>Medstar GeorgetownCPP-FV DCS45689</t>
  </si>
  <si>
    <t>Medstar GeorgetownCPP-FV FF45689</t>
  </si>
  <si>
    <t>Better MorningsFFT FF45689</t>
  </si>
  <si>
    <t>CatholicFFT FF45689</t>
  </si>
  <si>
    <t>First Home CareFFT FF45689</t>
  </si>
  <si>
    <t>Foundations for Home &amp; CommunityFFT FF45689</t>
  </si>
  <si>
    <t>HillcrestFFT FF45689</t>
  </si>
  <si>
    <t>PASSFFT FF45689</t>
  </si>
  <si>
    <t>Better MorningsIHCBS FF45689</t>
  </si>
  <si>
    <t>HillcrestIHCBS FF45689</t>
  </si>
  <si>
    <t>LESIHCBS FF45689</t>
  </si>
  <si>
    <t>MBI HSIHCBS FF45689</t>
  </si>
  <si>
    <t>MD Family ResourcesIHCBS FF45689</t>
  </si>
  <si>
    <t>UmbrellaIHCBS FF45689</t>
  </si>
  <si>
    <t>LCSMST FF45689</t>
  </si>
  <si>
    <t>MBI HSMST FF45689</t>
  </si>
  <si>
    <t>Youth VillagesMST FF45689</t>
  </si>
  <si>
    <t>Youth VillagesMST-PSB FF45689</t>
  </si>
  <si>
    <t>Marys CenterPCIT FF45689</t>
  </si>
  <si>
    <t>PIECEPCIT FF45689</t>
  </si>
  <si>
    <t>Marys CenterPCIT DCS45689</t>
  </si>
  <si>
    <t>PIECEPCIT DCS45689</t>
  </si>
  <si>
    <t>Community ConnectionsPCIT DCS45689</t>
  </si>
  <si>
    <t>Community ConnectionsPCIT FF45689</t>
  </si>
  <si>
    <t>Medstar GeorgetownPCIT DCS45689</t>
  </si>
  <si>
    <t>Medstar GeorgetownPCIT FF45689</t>
  </si>
  <si>
    <t>Marys CenterPCIT-T FF45689</t>
  </si>
  <si>
    <t>PIECEPCIT-T FF45689</t>
  </si>
  <si>
    <t>Community ConnectionsTF-CBT FF45689</t>
  </si>
  <si>
    <t>First Home CareTF-CBT FF45689</t>
  </si>
  <si>
    <t>Foundations for Home &amp; CommunityTF-CBT FF45689</t>
  </si>
  <si>
    <t>HillcrestTF-CBT FF45689</t>
  </si>
  <si>
    <t>LAYCTF-CBT FF45689</t>
  </si>
  <si>
    <t>LESTF-CBT FF45689</t>
  </si>
  <si>
    <t>MD Family ResourcesTF-CBT FF45689</t>
  </si>
  <si>
    <t>UniversalTF-CBT FF45689</t>
  </si>
  <si>
    <t>Community ConnectionsTIP FF45689</t>
  </si>
  <si>
    <t>ContemporaryTIP FF45689</t>
  </si>
  <si>
    <t>FPSTIP FF45689</t>
  </si>
  <si>
    <t>Green DoorTIP FF45689</t>
  </si>
  <si>
    <t>LESTIP FF45689</t>
  </si>
  <si>
    <t>MBI HSTIP FF45689</t>
  </si>
  <si>
    <t>PASSTIP FF45689</t>
  </si>
  <si>
    <t>TFCCTIP FF45689</t>
  </si>
  <si>
    <t>UmbrellaTIP FF45689</t>
  </si>
  <si>
    <t>UniversalTIP FF45689</t>
  </si>
  <si>
    <t>Wayne PlaceTIP FF45689</t>
  </si>
  <si>
    <t>Adoptions TogetherTST FF45689</t>
  </si>
  <si>
    <t>ContemporaryTST FF45689</t>
  </si>
  <si>
    <t>Family MattersTST FF45689</t>
  </si>
  <si>
    <t>First Home CareTST FF45689</t>
  </si>
  <si>
    <t>Foundations for Home &amp; CommunityTST FF45689</t>
  </si>
  <si>
    <t>HillcrestTST FF45689</t>
  </si>
  <si>
    <t>MD Family ResourcesTST FF45689</t>
  </si>
  <si>
    <t>DBH Parent SupportABC Combined45689</t>
  </si>
  <si>
    <t>Healthy FuturesABC Combined45689</t>
  </si>
  <si>
    <t>Marys CenterABC Combined45689</t>
  </si>
  <si>
    <t>Medstar GeorgetownABC Combined45689</t>
  </si>
  <si>
    <t>PIECEABC Combined45689</t>
  </si>
  <si>
    <t>Federal CityA-CRA Combined45689</t>
  </si>
  <si>
    <t>HillcrestA-CRA Combined45689</t>
  </si>
  <si>
    <t>LAYCA-CRA Combined45689</t>
  </si>
  <si>
    <t>RiversideA-CRA Combined45689</t>
  </si>
  <si>
    <t>Adoptions TogetherCPP-FV Combined45689</t>
  </si>
  <si>
    <t>Foundations for Home &amp; CommunityCPP-FV Combined45689</t>
  </si>
  <si>
    <t>Medstar GeorgetownCPP-FV Combined45689</t>
  </si>
  <si>
    <t>Better MorningsFFT Combined45689</t>
  </si>
  <si>
    <t>CatholicFFT Combined45689</t>
  </si>
  <si>
    <t>First Home CareFFT Combined45689</t>
  </si>
  <si>
    <t>Foundations for Home &amp; CommunityFFT Combined45689</t>
  </si>
  <si>
    <t>HillcrestFFT Combined45689</t>
  </si>
  <si>
    <t>PASSFFT Combined45689</t>
  </si>
  <si>
    <t>Better MorningsIHCBS Combined45689</t>
  </si>
  <si>
    <t>HillcrestIHCBS Combined45689</t>
  </si>
  <si>
    <t>LESIHCBS Combined45689</t>
  </si>
  <si>
    <t>MBI HSIHCBS Combined45689</t>
  </si>
  <si>
    <t>MD Family ResourcesIHCBS Combined45689</t>
  </si>
  <si>
    <t>UmbrellaIHCBS Combined45689</t>
  </si>
  <si>
    <t>LCSMST Combined45689</t>
  </si>
  <si>
    <t>MBI HSMST Combined45689</t>
  </si>
  <si>
    <t>Youth VillagesMST Combined45689</t>
  </si>
  <si>
    <t>Youth VillagesMST-PSB Combined45689</t>
  </si>
  <si>
    <t>Medstar GeorgetownPCIT Combined45689</t>
  </si>
  <si>
    <t>Marys CenterPCIT-T Combined45689</t>
  </si>
  <si>
    <t>PIECEPCIT-T Combined45689</t>
  </si>
  <si>
    <t>Community ConnectionsTF-CBT Combined45689</t>
  </si>
  <si>
    <t>First Home CareTF-CBT Combined45689</t>
  </si>
  <si>
    <t>Foundations for Home &amp; CommunityTF-CBT Combined45689</t>
  </si>
  <si>
    <t>HillcrestTF-CBT Combined45689</t>
  </si>
  <si>
    <t>LAYCTF-CBT Combined45689</t>
  </si>
  <si>
    <t>LESTF-CBT Combined45689</t>
  </si>
  <si>
    <t>MD Family ResourcesTF-CBT Combined45689</t>
  </si>
  <si>
    <t>UniversalTF-CBT Combined45689</t>
  </si>
  <si>
    <t>Community ConnectionsTIP Combined45689</t>
  </si>
  <si>
    <t>ContemporaryTIP Combined45689</t>
  </si>
  <si>
    <t>FPSTIP Combined45689</t>
  </si>
  <si>
    <t>Green DoorTIP Combined45689</t>
  </si>
  <si>
    <t>LESTIP Combined45689</t>
  </si>
  <si>
    <t>MBI HSTIP Combined45689</t>
  </si>
  <si>
    <t>PASSTIP Combined45689</t>
  </si>
  <si>
    <t>TFCCTIP Combined45689</t>
  </si>
  <si>
    <t>UmbrellaTIP Combined45689</t>
  </si>
  <si>
    <t>UniversalTIP Combined45689</t>
  </si>
  <si>
    <t>Wayne PlaceTIP Combined45689</t>
  </si>
  <si>
    <t>Adoptions TogetherTST Combined45689</t>
  </si>
  <si>
    <t>ContemporaryTST Combined45689</t>
  </si>
  <si>
    <t>Family MattersTST Combined45689</t>
  </si>
  <si>
    <t>First Home CareTST Combined45689</t>
  </si>
  <si>
    <t>Foundations for Home &amp; CommunityTST Combined45689</t>
  </si>
  <si>
    <t>HillcrestTST Combined45689</t>
  </si>
  <si>
    <t>MD Family ResourcesTST Combined45689</t>
  </si>
  <si>
    <t>Marys CenterCPP-FV Combined45689</t>
  </si>
  <si>
    <t>PIECECPP-FV Combined45689</t>
  </si>
  <si>
    <t>Community ConnectionsCPP-FV Combined45689</t>
  </si>
  <si>
    <t>Community ConnectionsPCIT Combined45689</t>
  </si>
  <si>
    <t>Marys CenterPCIT Combined45689</t>
  </si>
  <si>
    <t>PIECEPCIT Combined45689</t>
  </si>
  <si>
    <t>CatholicAll FF45689</t>
  </si>
  <si>
    <t>ContemporaryAll FF45689</t>
  </si>
  <si>
    <t>DBH Parent SupportAll FF45689</t>
  </si>
  <si>
    <t>Family MattersAll FF45689</t>
  </si>
  <si>
    <t>Federal City All FF45689</t>
  </si>
  <si>
    <t>First Home CareAll FF45689</t>
  </si>
  <si>
    <t>Foundations for Home &amp; CommunityAll FF45689</t>
  </si>
  <si>
    <t>FPSAll FF45689</t>
  </si>
  <si>
    <t>Green DoorAll FF45689</t>
  </si>
  <si>
    <t>Healthy FuturesAll FF45689</t>
  </si>
  <si>
    <t>HillcrestAll FF45689</t>
  </si>
  <si>
    <t>LAYCAll FF45689</t>
  </si>
  <si>
    <t>LCSAll FF45689</t>
  </si>
  <si>
    <t>LESAll FF45689</t>
  </si>
  <si>
    <t>MBI HSAll FF45689</t>
  </si>
  <si>
    <t>MD Family ResourcesAll FF45689</t>
  </si>
  <si>
    <t>PASSAll FF45689</t>
  </si>
  <si>
    <t>RiversideAll FF45689</t>
  </si>
  <si>
    <t>TFCCAll FF45689</t>
  </si>
  <si>
    <t>UmbrellaAll FF45689</t>
  </si>
  <si>
    <t>UniversalAll FF45689</t>
  </si>
  <si>
    <t>Wayne PlaceAll FF45689</t>
  </si>
  <si>
    <t>Youth VillagesAll FF45689</t>
  </si>
  <si>
    <t>Medstar GeorgetownAll DCS45689</t>
  </si>
  <si>
    <t>Medstar GeorgetownAll FF45689</t>
  </si>
  <si>
    <t>Community ConnectionsAll FF45689</t>
  </si>
  <si>
    <t>Community ConnectionsAll DCS45689</t>
  </si>
  <si>
    <t>Marys CenterAll FF45689</t>
  </si>
  <si>
    <t>Marys CenterAll DCS45689</t>
  </si>
  <si>
    <t>PIECEAll FF45689</t>
  </si>
  <si>
    <t>PIECEAll DCS45689</t>
  </si>
  <si>
    <t>Adoptions TogetherAll Combined45689</t>
  </si>
  <si>
    <t>Better MorningsAll Combined45689</t>
  </si>
  <si>
    <t>CatholicAll Combined45689</t>
  </si>
  <si>
    <t>Community ConnectionsAll Combined45689</t>
  </si>
  <si>
    <t>ContemporaryAll Combined45689</t>
  </si>
  <si>
    <t>DBH Family SupportAll Combined45689</t>
  </si>
  <si>
    <t>Family MattersAll Combined45689</t>
  </si>
  <si>
    <t>Federal CityAll Combined45689</t>
  </si>
  <si>
    <t>First Home CareAll Combined45689</t>
  </si>
  <si>
    <t>Foundations for Home &amp; CommunityAll Combined45689</t>
  </si>
  <si>
    <t>FPSAll Combined45689</t>
  </si>
  <si>
    <t>Green DoorAll Combined45689</t>
  </si>
  <si>
    <t>Healthy FuturesAll Combined45689</t>
  </si>
  <si>
    <t>HillcrestAll Combined45689</t>
  </si>
  <si>
    <t>LAYCAll Combined45689</t>
  </si>
  <si>
    <t>LCSAll Combined45689</t>
  </si>
  <si>
    <t>LESAll Combined45689</t>
  </si>
  <si>
    <t>Marys CenterAll Combined45689</t>
  </si>
  <si>
    <t>MBI HSAll Combined45689</t>
  </si>
  <si>
    <t>MD Family ResourcesAll Combined45689</t>
  </si>
  <si>
    <t>Medstar GeorgetownAll Combined45689</t>
  </si>
  <si>
    <t>PASSAll Combined45689</t>
  </si>
  <si>
    <t>PIECEAll Combined45689</t>
  </si>
  <si>
    <t>RiversideAll Combined45689</t>
  </si>
  <si>
    <t>TFCCAll Combined45689</t>
  </si>
  <si>
    <t>UmbrellaAll Combined45689</t>
  </si>
  <si>
    <t>UniversalAll Combined45689</t>
  </si>
  <si>
    <t>Wayne PlaceAll Combined45689</t>
  </si>
  <si>
    <t>Youth VillagesAll Combined45689</t>
  </si>
  <si>
    <t>All ABC ProvidersABC FF45689</t>
  </si>
  <si>
    <t>All ABC ProvidersABC Combined45689</t>
  </si>
  <si>
    <t>All A-CRA ProvidersA-CRA FF45689</t>
  </si>
  <si>
    <t>All A-CRA ProvidersA-CRA Combined45689</t>
  </si>
  <si>
    <t>All CPP-FV ProvidersCPP-FV FF45689</t>
  </si>
  <si>
    <t>All CPP-FV ProvidersCPP-FV DCS45689</t>
  </si>
  <si>
    <t>All CPP-FV ProvidersCPP-FV Combined45689</t>
  </si>
  <si>
    <t>All FFT ProvidersFFT FF45689</t>
  </si>
  <si>
    <t>All FFT ProvidersFFT Combined45689</t>
  </si>
  <si>
    <t>All IHCBS ProvidersIHCBS FF45689</t>
  </si>
  <si>
    <t>All IHCBS ProvidersIHCBS Combined45689</t>
  </si>
  <si>
    <t>All MST ProvidersMST FF45689</t>
  </si>
  <si>
    <t>All MST ProvidersMST Combined45689</t>
  </si>
  <si>
    <t>All MST-PSB ProvidersMST-PSB FF45689</t>
  </si>
  <si>
    <t>All MST-PSB ProvidersMST-PSB Combined45689</t>
  </si>
  <si>
    <t>All PCIT ProvidersPCIT FF45689</t>
  </si>
  <si>
    <t>All PCIT ProvidersPCIT DCS45689</t>
  </si>
  <si>
    <t>All PCIT ProvidersPCIT Combined45689</t>
  </si>
  <si>
    <t>All PCIT-T ProvidersPCIT-T FF45689</t>
  </si>
  <si>
    <t>All PCIT-T ProvidersPCIT-T Combined45689</t>
  </si>
  <si>
    <t>All SFCR ProvidersSFCR FF45689</t>
  </si>
  <si>
    <t>All SFCR ProvidersSFCR Combined45689</t>
  </si>
  <si>
    <t>All TF-CBT ProvidersTF-CBT FF45689</t>
  </si>
  <si>
    <t>All TF-CBT ProvidersTF-CBT Combined45689</t>
  </si>
  <si>
    <t>All TIP ProvidersTIP FF45689</t>
  </si>
  <si>
    <t>All TIP ProvidersTIP Combined45689</t>
  </si>
  <si>
    <t>All TST ProvidersTST FF45689</t>
  </si>
  <si>
    <t>All TST ProvidersTST Combined45689</t>
  </si>
  <si>
    <t>Families First ProvidersAll FF45689</t>
  </si>
  <si>
    <t>DC Seed ProvidersAll DCS45689</t>
  </si>
  <si>
    <t>Trauma ProvidersAll FF45689</t>
  </si>
  <si>
    <t>Trauma ProvidersAll DCS45689</t>
  </si>
  <si>
    <t>Trauma ProvidersAll Combined45689</t>
  </si>
  <si>
    <t>AllAll Combined45689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</si>
</sst>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49" fontId="27" fillId="2" borderId="23" xfId="0" applyNumberFormat="1" applyFont="1" applyFill="1" applyBorder="1" applyAlignment="1" applyProtection="1">
      <alignment horizontal="left" vertical="center" wrapText="1"/>
      <protection locked="0"/>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3"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2" borderId="0" xfId="0" applyFont="1" applyFill="1" applyAlignment="1">
      <alignment horizontal="left" vertical="center" wrapText="1" inden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3" borderId="22"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Successful Discharges</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Mar-24</c:v>
                </c:pt>
                <c:pt idx="1">
                  <c:v>Apr-24</c:v>
                </c:pt>
                <c:pt idx="2">
                  <c:v>May-24</c:v>
                </c:pt>
                <c:pt idx="3">
                  <c:v>Jun-24</c:v>
                </c:pt>
                <c:pt idx="4">
                  <c:v>Jul-24</c:v>
                </c:pt>
                <c:pt idx="5">
                  <c:v>Aug-24</c:v>
                </c:pt>
                <c:pt idx="6">
                  <c:v>Sep-24</c:v>
                </c:pt>
                <c:pt idx="7">
                  <c:v>Oct-24</c:v>
                </c:pt>
                <c:pt idx="8">
                  <c:v>Nov-24</c:v>
                </c:pt>
                <c:pt idx="9">
                  <c:v>Dec-24</c:v>
                </c:pt>
                <c:pt idx="10">
                  <c:v>Jan-25</c:v>
                </c:pt>
                <c:pt idx="11">
                  <c:v>Feb-25</c:v>
                </c:pt>
                <c:pt idx="12">
                  <c:v>Ave</c:v>
                </c:pt>
              </c:strCache>
            </c:strRef>
          </c:cat>
          <c:val>
            <c:numRef>
              <c:f>calculations!$D$84:$D$96</c:f>
              <c:numCache>
                <c:formatCode>General</c:formatCode>
                <c:ptCount val="13"/>
                <c:pt idx="0">
                  <c:v>26</c:v>
                </c:pt>
                <c:pt idx="1">
                  <c:v>21</c:v>
                </c:pt>
                <c:pt idx="2">
                  <c:v>19</c:v>
                </c:pt>
                <c:pt idx="3">
                  <c:v>22</c:v>
                </c:pt>
                <c:pt idx="4">
                  <c:v>27</c:v>
                </c:pt>
                <c:pt idx="5">
                  <c:v>22</c:v>
                </c:pt>
                <c:pt idx="6">
                  <c:v>24</c:v>
                </c:pt>
                <c:pt idx="7">
                  <c:v>26</c:v>
                </c:pt>
                <c:pt idx="8">
                  <c:v>24</c:v>
                </c:pt>
                <c:pt idx="9">
                  <c:v>23</c:v>
                </c:pt>
                <c:pt idx="10">
                  <c:v>15</c:v>
                </c:pt>
                <c:pt idx="11">
                  <c:v>13</c:v>
                </c:pt>
                <c:pt idx="12">
                  <c:v>21.8</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Unsuccessful Discharges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Mar-24</c:v>
                </c:pt>
                <c:pt idx="1">
                  <c:v>Apr-24</c:v>
                </c:pt>
                <c:pt idx="2">
                  <c:v>May-24</c:v>
                </c:pt>
                <c:pt idx="3">
                  <c:v>Jun-24</c:v>
                </c:pt>
                <c:pt idx="4">
                  <c:v>Jul-24</c:v>
                </c:pt>
                <c:pt idx="5">
                  <c:v>Aug-24</c:v>
                </c:pt>
                <c:pt idx="6">
                  <c:v>Sep-24</c:v>
                </c:pt>
                <c:pt idx="7">
                  <c:v>Oct-24</c:v>
                </c:pt>
                <c:pt idx="8">
                  <c:v>Nov-24</c:v>
                </c:pt>
                <c:pt idx="9">
                  <c:v>Dec-24</c:v>
                </c:pt>
                <c:pt idx="10">
                  <c:v>Jan-25</c:v>
                </c:pt>
                <c:pt idx="11">
                  <c:v>Feb-25</c:v>
                </c:pt>
                <c:pt idx="12">
                  <c:v>Ave</c:v>
                </c:pt>
              </c:strCache>
            </c:strRef>
          </c:cat>
          <c:val>
            <c:numRef>
              <c:f>calculations!$E$84:$E$96</c:f>
              <c:numCache>
                <c:formatCode>General</c:formatCode>
                <c:ptCount val="13"/>
                <c:pt idx="0">
                  <c:v>15</c:v>
                </c:pt>
                <c:pt idx="1">
                  <c:v>12</c:v>
                </c:pt>
                <c:pt idx="2">
                  <c:v>6</c:v>
                </c:pt>
                <c:pt idx="3">
                  <c:v>11</c:v>
                </c:pt>
                <c:pt idx="4">
                  <c:v>8</c:v>
                </c:pt>
                <c:pt idx="5">
                  <c:v>13</c:v>
                </c:pt>
                <c:pt idx="6">
                  <c:v>12</c:v>
                </c:pt>
                <c:pt idx="7">
                  <c:v>7</c:v>
                </c:pt>
                <c:pt idx="8">
                  <c:v>8</c:v>
                </c:pt>
                <c:pt idx="9">
                  <c:v>6</c:v>
                </c:pt>
                <c:pt idx="10">
                  <c:v>8</c:v>
                </c:pt>
                <c:pt idx="11">
                  <c:v>11</c:v>
                </c:pt>
                <c:pt idx="12">
                  <c:v>9.8000000000000007</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Successful Discharges</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calculations!$W$84:$W$96</c:f>
              <c:numCache>
                <c:formatCode>General</c:formatCode>
                <c:ptCount val="13"/>
                <c:pt idx="0">
                  <c:v>24</c:v>
                </c:pt>
                <c:pt idx="1">
                  <c:v>13</c:v>
                </c:pt>
                <c:pt idx="2">
                  <c:v>12</c:v>
                </c:pt>
                <c:pt idx="3">
                  <c:v>17</c:v>
                </c:pt>
                <c:pt idx="4">
                  <c:v>15</c:v>
                </c:pt>
                <c:pt idx="5">
                  <c:v>9</c:v>
                </c:pt>
                <c:pt idx="6">
                  <c:v>33</c:v>
                </c:pt>
                <c:pt idx="7">
                  <c:v>22</c:v>
                </c:pt>
                <c:pt idx="8">
                  <c:v>25</c:v>
                </c:pt>
                <c:pt idx="9">
                  <c:v>23</c:v>
                </c:pt>
                <c:pt idx="10">
                  <c:v>22</c:v>
                </c:pt>
                <c:pt idx="11">
                  <c:v>16</c:v>
                </c:pt>
                <c:pt idx="12">
                  <c:v>19.3</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Unsuccessful Discharges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Mar-23</c:v>
                </c:pt>
                <c:pt idx="1">
                  <c:v>Apr-23</c:v>
                </c:pt>
                <c:pt idx="2">
                  <c:v>May-23</c:v>
                </c:pt>
                <c:pt idx="3">
                  <c:v>Jun-23</c:v>
                </c:pt>
                <c:pt idx="4">
                  <c:v>Jul-23</c:v>
                </c:pt>
                <c:pt idx="5">
                  <c:v>Aug-23</c:v>
                </c:pt>
                <c:pt idx="6">
                  <c:v>Sep-23</c:v>
                </c:pt>
                <c:pt idx="7">
                  <c:v>Oct-23</c:v>
                </c:pt>
                <c:pt idx="8">
                  <c:v>Nov-23</c:v>
                </c:pt>
                <c:pt idx="9">
                  <c:v>Dec-23</c:v>
                </c:pt>
                <c:pt idx="10">
                  <c:v>Jan-24</c:v>
                </c:pt>
                <c:pt idx="11">
                  <c:v>Feb-24</c:v>
                </c:pt>
                <c:pt idx="12">
                  <c:v>Ave</c:v>
                </c:pt>
              </c:strCache>
            </c:strRef>
          </c:cat>
          <c:val>
            <c:numRef>
              <c:f>calculations!$X$84:$X$96</c:f>
              <c:numCache>
                <c:formatCode>General</c:formatCode>
                <c:ptCount val="13"/>
                <c:pt idx="0">
                  <c:v>11</c:v>
                </c:pt>
                <c:pt idx="1">
                  <c:v>17</c:v>
                </c:pt>
                <c:pt idx="2">
                  <c:v>9</c:v>
                </c:pt>
                <c:pt idx="3">
                  <c:v>8</c:v>
                </c:pt>
                <c:pt idx="4">
                  <c:v>13</c:v>
                </c:pt>
                <c:pt idx="5">
                  <c:v>4</c:v>
                </c:pt>
                <c:pt idx="6">
                  <c:v>6</c:v>
                </c:pt>
                <c:pt idx="7">
                  <c:v>6</c:v>
                </c:pt>
                <c:pt idx="8">
                  <c:v>12</c:v>
                </c:pt>
                <c:pt idx="9">
                  <c:v>13</c:v>
                </c:pt>
                <c:pt idx="10">
                  <c:v>6</c:v>
                </c:pt>
                <c:pt idx="11">
                  <c:v>11</c:v>
                </c:pt>
                <c:pt idx="12">
                  <c:v>9.6999999999999993</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MST</c:v>
                </c:pt>
                <c:pt idx="2">
                  <c:v>IHCBS</c:v>
                </c:pt>
                <c:pt idx="3">
                  <c:v>FFT</c:v>
                </c:pt>
                <c:pt idx="4">
                  <c:v>TIP</c:v>
                </c:pt>
                <c:pt idx="5">
                  <c:v>TST</c:v>
                </c:pt>
                <c:pt idx="6">
                  <c:v>PCIT-T</c:v>
                </c:pt>
                <c:pt idx="7">
                  <c:v>TF-CBT</c:v>
                </c:pt>
                <c:pt idx="8">
                  <c:v>CPP-FV</c:v>
                </c:pt>
                <c:pt idx="9">
                  <c:v>PCIT</c:v>
                </c:pt>
                <c:pt idx="10">
                  <c:v>ABC</c:v>
                </c:pt>
                <c:pt idx="11">
                  <c:v>SFCR</c:v>
                </c:pt>
                <c:pt idx="12">
                  <c:v>*MST-PSB</c:v>
                </c:pt>
              </c:strCache>
            </c:strRef>
          </c:cat>
          <c:val>
            <c:numRef>
              <c:f>'graphs data'!$G$128:$G$140</c:f>
              <c:numCache>
                <c:formatCode>0%</c:formatCode>
                <c:ptCount val="13"/>
                <c:pt idx="0">
                  <c:v>0.6716738197424893</c:v>
                </c:pt>
                <c:pt idx="1">
                  <c:v>1.2000039999999998</c:v>
                </c:pt>
                <c:pt idx="2">
                  <c:v>1.0909210909090907</c:v>
                </c:pt>
                <c:pt idx="3">
                  <c:v>0.72414093103448274</c:v>
                </c:pt>
                <c:pt idx="4">
                  <c:v>0.66667666666666658</c:v>
                </c:pt>
                <c:pt idx="5">
                  <c:v>0.65001100000000001</c:v>
                </c:pt>
                <c:pt idx="6">
                  <c:v>0.53846853846153842</c:v>
                </c:pt>
                <c:pt idx="7">
                  <c:v>0.53489272093023255</c:v>
                </c:pt>
                <c:pt idx="8">
                  <c:v>0.41666866666666669</c:v>
                </c:pt>
                <c:pt idx="9">
                  <c:v>0.20000600000000002</c:v>
                </c:pt>
                <c:pt idx="10">
                  <c:v>1.1E-5</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TST</c:v>
                </c:pt>
                <c:pt idx="2">
                  <c:v>CPP-FV</c:v>
                </c:pt>
                <c:pt idx="3">
                  <c:v>TIP</c:v>
                </c:pt>
                <c:pt idx="4">
                  <c:v>PCIT</c:v>
                </c:pt>
                <c:pt idx="5">
                  <c:v>PCIT-T</c:v>
                </c:pt>
                <c:pt idx="6">
                  <c:v>IHCBS</c:v>
                </c:pt>
                <c:pt idx="7">
                  <c:v>FFT</c:v>
                </c:pt>
                <c:pt idx="8">
                  <c:v>TF-CBT</c:v>
                </c:pt>
                <c:pt idx="9">
                  <c:v>MST</c:v>
                </c:pt>
                <c:pt idx="10">
                  <c:v>SFCR</c:v>
                </c:pt>
                <c:pt idx="11">
                  <c:v>*MST-PSB</c:v>
                </c:pt>
                <c:pt idx="12">
                  <c:v>*A-CRA</c:v>
                </c:pt>
              </c:strCache>
            </c:strRef>
          </c:cat>
          <c:val>
            <c:numRef>
              <c:f>'graphs data'!$O$128:$O$140</c:f>
              <c:numCache>
                <c:formatCode>0%</c:formatCode>
                <c:ptCount val="13"/>
                <c:pt idx="0">
                  <c:v>0.74404761904761907</c:v>
                </c:pt>
                <c:pt idx="1">
                  <c:v>1.4001299999999999</c:v>
                </c:pt>
                <c:pt idx="2">
                  <c:v>0.900003</c:v>
                </c:pt>
                <c:pt idx="3">
                  <c:v>0.85966112280701756</c:v>
                </c:pt>
                <c:pt idx="4">
                  <c:v>0.8571508571428571</c:v>
                </c:pt>
                <c:pt idx="5">
                  <c:v>0.71429471428571434</c:v>
                </c:pt>
                <c:pt idx="6">
                  <c:v>0.68751200000000001</c:v>
                </c:pt>
                <c:pt idx="7">
                  <c:v>0.625004</c:v>
                </c:pt>
                <c:pt idx="8">
                  <c:v>0.57693407692307686</c:v>
                </c:pt>
                <c:pt idx="9">
                  <c:v>0.25000499999999998</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IHCBS</c:v>
                </c:pt>
                <c:pt idx="2">
                  <c:v>TST</c:v>
                </c:pt>
                <c:pt idx="3">
                  <c:v>TF-CBT</c:v>
                </c:pt>
                <c:pt idx="4">
                  <c:v>TIP</c:v>
                </c:pt>
                <c:pt idx="5">
                  <c:v>FFT</c:v>
                </c:pt>
                <c:pt idx="6">
                  <c:v>SFCR</c:v>
                </c:pt>
                <c:pt idx="7">
                  <c:v>PCIT-T</c:v>
                </c:pt>
                <c:pt idx="8">
                  <c:v>PCIT</c:v>
                </c:pt>
                <c:pt idx="9">
                  <c:v>*MST-PSB</c:v>
                </c:pt>
                <c:pt idx="10">
                  <c:v>MST</c:v>
                </c:pt>
                <c:pt idx="11">
                  <c:v>CPP-FV</c:v>
                </c:pt>
                <c:pt idx="12">
                  <c:v>*A-CRA</c:v>
                </c:pt>
              </c:strCache>
            </c:strRef>
          </c:cat>
          <c:val>
            <c:numRef>
              <c:f>'graphs data'!$W$128:$W$140</c:f>
              <c:numCache>
                <c:formatCode>0%</c:formatCode>
                <c:ptCount val="13"/>
                <c:pt idx="0">
                  <c:v>0.54166666666666663</c:v>
                </c:pt>
                <c:pt idx="1">
                  <c:v>1.000013</c:v>
                </c:pt>
                <c:pt idx="2">
                  <c:v>1.0000119999999999</c:v>
                </c:pt>
                <c:pt idx="3">
                  <c:v>0.75000999999999995</c:v>
                </c:pt>
                <c:pt idx="4">
                  <c:v>0.4444554444444444</c:v>
                </c:pt>
                <c:pt idx="5">
                  <c:v>0.33333733333333332</c:v>
                </c:pt>
                <c:pt idx="6">
                  <c:v>9.0000000000000002E-6</c:v>
                </c:pt>
                <c:pt idx="7">
                  <c:v>7.9999999999999996E-6</c:v>
                </c:pt>
                <c:pt idx="8">
                  <c:v>6.9999999999999999E-6</c:v>
                </c:pt>
                <c:pt idx="9">
                  <c:v>6.0000000000000002E-6</c:v>
                </c:pt>
                <c:pt idx="10">
                  <c:v>5.0000000000000004E-6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12"/>
                <c:pt idx="0">
                  <c:v>TIP</c:v>
                </c:pt>
                <c:pt idx="1">
                  <c:v>PASS</c:v>
                </c:pt>
                <c:pt idx="2">
                  <c:v>MBI</c:v>
                </c:pt>
                <c:pt idx="3">
                  <c:v>UTS</c:v>
                </c:pt>
                <c:pt idx="4">
                  <c:v>WP</c:v>
                </c:pt>
                <c:pt idx="5">
                  <c:v>LES</c:v>
                </c:pt>
                <c:pt idx="6">
                  <c:v>*Uni</c:v>
                </c:pt>
                <c:pt idx="7">
                  <c:v>*TFCC</c:v>
                </c:pt>
                <c:pt idx="8">
                  <c:v>*GD</c:v>
                </c:pt>
                <c:pt idx="9">
                  <c:v>*FPS</c:v>
                </c:pt>
                <c:pt idx="10">
                  <c:v>*Cont</c:v>
                </c:pt>
                <c:pt idx="11">
                  <c:v>CC</c:v>
                </c:pt>
              </c:strCache>
            </c:strRef>
          </c:cat>
          <c:val>
            <c:numRef>
              <c:f>'graphs data'!$G$156:$G$167</c:f>
              <c:numCache>
                <c:formatCode>0%</c:formatCode>
                <c:ptCount val="12"/>
                <c:pt idx="0">
                  <c:v>0.66666666666666663</c:v>
                </c:pt>
                <c:pt idx="1">
                  <c:v>1.3142927142857144</c:v>
                </c:pt>
                <c:pt idx="2">
                  <c:v>0.48750599999999999</c:v>
                </c:pt>
                <c:pt idx="3">
                  <c:v>0.48485748484848484</c:v>
                </c:pt>
                <c:pt idx="4">
                  <c:v>0.36364736363636363</c:v>
                </c:pt>
                <c:pt idx="5">
                  <c:v>0.31429071428571426</c:v>
                </c:pt>
                <c:pt idx="6">
                  <c:v>1.0000000000000001E-5</c:v>
                </c:pt>
                <c:pt idx="7">
                  <c:v>7.9999999999999996E-6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12"/>
                <c:pt idx="0">
                  <c:v>TIP</c:v>
                </c:pt>
                <c:pt idx="1">
                  <c:v>UTS</c:v>
                </c:pt>
                <c:pt idx="2">
                  <c:v>LES</c:v>
                </c:pt>
                <c:pt idx="3">
                  <c:v>PASS</c:v>
                </c:pt>
                <c:pt idx="4">
                  <c:v>MBI</c:v>
                </c:pt>
                <c:pt idx="5">
                  <c:v>WP</c:v>
                </c:pt>
                <c:pt idx="6">
                  <c:v>*Uni</c:v>
                </c:pt>
                <c:pt idx="7">
                  <c:v>*TFCC</c:v>
                </c:pt>
                <c:pt idx="8">
                  <c:v>*GD</c:v>
                </c:pt>
                <c:pt idx="9">
                  <c:v>*FPS</c:v>
                </c:pt>
                <c:pt idx="10">
                  <c:v>*Cont</c:v>
                </c:pt>
                <c:pt idx="11">
                  <c:v>CC</c:v>
                </c:pt>
              </c:strCache>
            </c:strRef>
          </c:cat>
          <c:val>
            <c:numRef>
              <c:f>'graphs data'!$O$156:$O$167</c:f>
              <c:numCache>
                <c:formatCode>0%</c:formatCode>
                <c:ptCount val="12"/>
                <c:pt idx="0">
                  <c:v>0.85964912280701755</c:v>
                </c:pt>
                <c:pt idx="1">
                  <c:v>1.0000089999999999</c:v>
                </c:pt>
                <c:pt idx="2">
                  <c:v>1.000005</c:v>
                </c:pt>
                <c:pt idx="3">
                  <c:v>0.87500699999999998</c:v>
                </c:pt>
                <c:pt idx="4">
                  <c:v>0.77778377777777774</c:v>
                </c:pt>
                <c:pt idx="5">
                  <c:v>0.66667766666666661</c:v>
                </c:pt>
                <c:pt idx="6">
                  <c:v>1.0000000000000001E-5</c:v>
                </c:pt>
                <c:pt idx="7">
                  <c:v>7.9999999999999996E-6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12"/>
                <c:pt idx="0">
                  <c:v>TIP</c:v>
                </c:pt>
                <c:pt idx="1">
                  <c:v>PASS</c:v>
                </c:pt>
                <c:pt idx="2">
                  <c:v>WP</c:v>
                </c:pt>
                <c:pt idx="3">
                  <c:v>*Uni</c:v>
                </c:pt>
                <c:pt idx="4">
                  <c:v>UTS</c:v>
                </c:pt>
                <c:pt idx="5">
                  <c:v>*TFCC</c:v>
                </c:pt>
                <c:pt idx="6">
                  <c:v>MBI</c:v>
                </c:pt>
                <c:pt idx="7">
                  <c:v>LES</c:v>
                </c:pt>
                <c:pt idx="8">
                  <c:v>*GD</c:v>
                </c:pt>
                <c:pt idx="9">
                  <c:v>*FPS</c:v>
                </c:pt>
                <c:pt idx="10">
                  <c:v>*Cont</c:v>
                </c:pt>
                <c:pt idx="11">
                  <c:v>CC</c:v>
                </c:pt>
              </c:strCache>
            </c:strRef>
          </c:cat>
          <c:val>
            <c:numRef>
              <c:f>'graphs data'!$W$156:$W$167</c:f>
              <c:numCache>
                <c:formatCode>0%</c:formatCode>
                <c:ptCount val="12"/>
                <c:pt idx="0">
                  <c:v>0.44444444444444442</c:v>
                </c:pt>
                <c:pt idx="1">
                  <c:v>0.57143557142857138</c:v>
                </c:pt>
                <c:pt idx="2">
                  <c:v>1.1E-5</c:v>
                </c:pt>
                <c:pt idx="3">
                  <c:v>1.0000000000000001E-5</c:v>
                </c:pt>
                <c:pt idx="4">
                  <c:v>9.0000000000000002E-6</c:v>
                </c:pt>
                <c:pt idx="5">
                  <c:v>7.9999999999999996E-6</c:v>
                </c:pt>
                <c:pt idx="6">
                  <c:v>6.0000000000000002E-6</c:v>
                </c:pt>
                <c:pt idx="7">
                  <c:v>5.0000000000000004E-6</c:v>
                </c:pt>
                <c:pt idx="8">
                  <c:v>3.9999999999999998E-6</c:v>
                </c:pt>
                <c:pt idx="9">
                  <c:v>3.0000000000000001E-6</c:v>
                </c:pt>
                <c:pt idx="10">
                  <c:v>1.9999999999999999E-6</c:v>
                </c:pt>
                <c:pt idx="11">
                  <c:v>9.9999999999999995E-7</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6</xdr:row>
      <xdr:rowOff>953</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topLeftCell="E1" zoomScale="69" zoomScaleNormal="69" zoomScalePageLayoutView="90" workbookViewId="0">
      <selection activeCell="P8" sqref="P8:S8"/>
    </sheetView>
  </sheetViews>
  <sheetFormatPr defaultColWidth="9.109375" defaultRowHeight="14.7" customHeight="1" x14ac:dyDescent="0.3"/>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x14ac:dyDescent="0.3">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x14ac:dyDescent="0.3">
      <c r="A2" s="48"/>
      <c r="B2" s="155"/>
      <c r="C2" s="188" t="s">
        <v>0</v>
      </c>
      <c r="D2" s="189"/>
      <c r="E2" s="189"/>
      <c r="F2" s="189"/>
      <c r="G2" s="189"/>
      <c r="H2" s="189"/>
      <c r="I2" s="189"/>
      <c r="J2" s="189"/>
      <c r="K2" s="189"/>
      <c r="L2" s="189"/>
      <c r="M2" s="189"/>
      <c r="N2" s="190"/>
      <c r="O2" s="49"/>
      <c r="P2" s="194" t="s">
        <v>1</v>
      </c>
      <c r="Q2" s="195"/>
      <c r="R2" s="195"/>
      <c r="S2" s="196"/>
      <c r="T2" s="49"/>
      <c r="U2" s="205" t="s">
        <v>2</v>
      </c>
      <c r="V2" s="206"/>
      <c r="W2" s="206"/>
      <c r="X2" s="206"/>
      <c r="Y2" s="206"/>
      <c r="Z2" s="206"/>
      <c r="AA2" s="206"/>
      <c r="AB2" s="206"/>
      <c r="AC2" s="206"/>
      <c r="AD2" s="206"/>
      <c r="AE2" s="206"/>
      <c r="AF2" s="207"/>
      <c r="AG2" s="166"/>
      <c r="AH2" s="50"/>
    </row>
    <row r="3" spans="1:34" ht="21" customHeight="1" x14ac:dyDescent="0.3">
      <c r="A3" s="48"/>
      <c r="B3" s="156"/>
      <c r="C3" s="181" t="s">
        <v>3</v>
      </c>
      <c r="D3" s="182"/>
      <c r="E3" s="191" t="s">
        <v>4</v>
      </c>
      <c r="F3" s="192"/>
      <c r="G3" s="192"/>
      <c r="H3" s="192"/>
      <c r="I3" s="193"/>
      <c r="J3" s="181" t="s">
        <v>5</v>
      </c>
      <c r="K3" s="182"/>
      <c r="L3" s="203" t="s">
        <v>6</v>
      </c>
      <c r="M3" s="203"/>
      <c r="N3" s="204"/>
      <c r="O3" s="49"/>
      <c r="P3" s="197" t="s">
        <v>7</v>
      </c>
      <c r="Q3" s="198"/>
      <c r="R3" s="198"/>
      <c r="S3" s="199"/>
      <c r="T3" s="49"/>
      <c r="U3" s="181" t="s">
        <v>3</v>
      </c>
      <c r="V3" s="182"/>
      <c r="W3" s="192" t="s">
        <v>4</v>
      </c>
      <c r="X3" s="192"/>
      <c r="Y3" s="192"/>
      <c r="Z3" s="192"/>
      <c r="AA3" s="192"/>
      <c r="AB3" s="181" t="s">
        <v>5</v>
      </c>
      <c r="AC3" s="182"/>
      <c r="AD3" s="186" t="s">
        <v>6</v>
      </c>
      <c r="AE3" s="186"/>
      <c r="AF3" s="187"/>
      <c r="AG3" s="166"/>
      <c r="AH3" s="50"/>
    </row>
    <row r="4" spans="1:34" ht="21" customHeight="1" x14ac:dyDescent="0.3">
      <c r="A4" s="48"/>
      <c r="B4" s="157"/>
      <c r="C4" s="181" t="s">
        <v>8</v>
      </c>
      <c r="D4" s="182"/>
      <c r="E4" s="203" t="s">
        <v>6</v>
      </c>
      <c r="F4" s="203"/>
      <c r="G4" s="203"/>
      <c r="H4" s="203"/>
      <c r="I4" s="203"/>
      <c r="J4" s="203"/>
      <c r="K4" s="203"/>
      <c r="L4" s="203"/>
      <c r="M4" s="203"/>
      <c r="N4" s="204"/>
      <c r="O4" s="49"/>
      <c r="P4" s="200" t="str">
        <f>"Updated Through "&amp;MONTH(MAX(data2!E:E))&amp;"-"&amp;YEAR(MAX(data2!E:E))</f>
        <v>Updated Through 2-2025</v>
      </c>
      <c r="Q4" s="201"/>
      <c r="R4" s="201"/>
      <c r="S4" s="202"/>
      <c r="T4" s="49"/>
      <c r="U4" s="181" t="s">
        <v>8</v>
      </c>
      <c r="V4" s="182"/>
      <c r="W4" s="186" t="s">
        <v>6</v>
      </c>
      <c r="X4" s="186"/>
      <c r="Y4" s="186"/>
      <c r="Z4" s="186"/>
      <c r="AA4" s="186"/>
      <c r="AB4" s="186"/>
      <c r="AC4" s="186"/>
      <c r="AD4" s="186"/>
      <c r="AE4" s="186"/>
      <c r="AF4" s="187"/>
      <c r="AG4" s="166"/>
      <c r="AH4" s="50"/>
    </row>
    <row r="5" spans="1:34" ht="21" customHeight="1" x14ac:dyDescent="0.4">
      <c r="A5" s="48"/>
      <c r="B5" s="157"/>
      <c r="C5" s="181" t="s">
        <v>9</v>
      </c>
      <c r="D5" s="182"/>
      <c r="E5" s="181" t="s">
        <v>10</v>
      </c>
      <c r="F5" s="182"/>
      <c r="G5" s="183" t="s">
        <v>44555</v>
      </c>
      <c r="H5" s="183"/>
      <c r="I5" s="183"/>
      <c r="J5" s="181" t="s">
        <v>12</v>
      </c>
      <c r="K5" s="182"/>
      <c r="L5" s="184" t="s">
        <v>44576</v>
      </c>
      <c r="M5" s="184"/>
      <c r="N5" s="185"/>
      <c r="O5" s="49"/>
      <c r="P5" s="49"/>
      <c r="Q5" s="49"/>
      <c r="R5" s="49"/>
      <c r="S5" s="49"/>
      <c r="T5" s="49"/>
      <c r="U5" s="181" t="s">
        <v>9</v>
      </c>
      <c r="V5" s="182"/>
      <c r="W5" s="181" t="s">
        <v>10</v>
      </c>
      <c r="X5" s="182"/>
      <c r="Y5" s="183" t="s">
        <v>44533</v>
      </c>
      <c r="Z5" s="183"/>
      <c r="AA5" s="183"/>
      <c r="AB5" s="181" t="s">
        <v>12</v>
      </c>
      <c r="AC5" s="182"/>
      <c r="AD5" s="184" t="s">
        <v>44553</v>
      </c>
      <c r="AE5" s="184"/>
      <c r="AF5" s="185"/>
      <c r="AG5" s="167"/>
      <c r="AH5" s="50"/>
    </row>
    <row r="6" spans="1:34" ht="21" customHeight="1" thickBot="1" x14ac:dyDescent="0.35">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x14ac:dyDescent="0.35">
      <c r="A7" s="48"/>
      <c r="B7" s="178" t="str">
        <f>E4&amp;" "&amp;L3&amp;" "&amp;E3&amp;" "&amp;calculations!A81&amp;" "&amp;G5&amp;" through "&amp;L5</f>
        <v>All All Combined Outcomes Mar-24 through Feb-25</v>
      </c>
      <c r="C7" s="179"/>
      <c r="D7" s="179"/>
      <c r="E7" s="179"/>
      <c r="F7" s="179"/>
      <c r="G7" s="179"/>
      <c r="H7" s="179"/>
      <c r="I7" s="179"/>
      <c r="J7" s="179"/>
      <c r="K7" s="179"/>
      <c r="L7" s="179"/>
      <c r="M7" s="179"/>
      <c r="N7" s="179"/>
      <c r="O7" s="180"/>
      <c r="P7" s="212" t="s">
        <v>16</v>
      </c>
      <c r="Q7" s="213"/>
      <c r="R7" s="213"/>
      <c r="S7" s="214"/>
      <c r="T7" s="175" t="str">
        <f>W4&amp;" "&amp;AD3&amp;" "&amp;W3&amp;" "&amp;calculations!A81&amp;" "&amp;Y5&amp;" through "&amp;AD5</f>
        <v>All All Combined Outcomes Mar-23 through Feb-24</v>
      </c>
      <c r="U7" s="176"/>
      <c r="V7" s="176"/>
      <c r="W7" s="176"/>
      <c r="X7" s="176"/>
      <c r="Y7" s="176"/>
      <c r="Z7" s="176"/>
      <c r="AA7" s="176"/>
      <c r="AB7" s="176"/>
      <c r="AC7" s="176"/>
      <c r="AD7" s="176"/>
      <c r="AE7" s="176"/>
      <c r="AF7" s="176"/>
      <c r="AG7" s="177"/>
      <c r="AH7" s="50"/>
    </row>
    <row r="8" spans="1:34" ht="21" customHeight="1" thickBot="1" x14ac:dyDescent="0.35">
      <c r="A8" s="48"/>
      <c r="B8" s="36"/>
      <c r="C8" s="36"/>
      <c r="D8" s="36"/>
      <c r="E8" s="36"/>
      <c r="F8" s="36"/>
      <c r="G8" s="36"/>
      <c r="H8" s="36"/>
      <c r="I8" s="36"/>
      <c r="J8" s="36"/>
      <c r="K8" s="36"/>
      <c r="L8" s="36"/>
      <c r="M8" s="36"/>
      <c r="N8" s="36"/>
      <c r="O8" s="36"/>
      <c r="P8" s="215" t="s">
        <v>22</v>
      </c>
      <c r="Q8" s="216"/>
      <c r="R8" s="216"/>
      <c r="S8" s="217"/>
      <c r="T8" s="36"/>
      <c r="U8" s="36"/>
      <c r="V8" s="36"/>
      <c r="W8" s="36"/>
      <c r="X8" s="36"/>
      <c r="Y8" s="36"/>
      <c r="Z8" s="36"/>
      <c r="AA8" s="36"/>
      <c r="AB8" s="36"/>
      <c r="AC8" s="36"/>
      <c r="AD8" s="36"/>
      <c r="AE8" s="36"/>
      <c r="AF8" s="36"/>
      <c r="AG8" s="36"/>
      <c r="AH8" s="50"/>
    </row>
    <row r="9" spans="1:34" ht="14.7" customHeight="1" thickBot="1" x14ac:dyDescent="0.3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x14ac:dyDescent="0.3">
      <c r="A10" s="48"/>
      <c r="B10" s="36"/>
      <c r="C10" s="36"/>
      <c r="D10" s="36"/>
      <c r="E10" s="36"/>
      <c r="F10" s="36"/>
      <c r="G10" s="36"/>
      <c r="H10" s="36"/>
      <c r="I10" s="36"/>
      <c r="J10" s="36"/>
      <c r="K10" s="36"/>
      <c r="L10" s="36"/>
      <c r="M10" s="36"/>
      <c r="N10" s="36"/>
      <c r="O10" s="36"/>
      <c r="P10" s="111" t="s">
        <v>18</v>
      </c>
      <c r="Q10" s="208" t="s">
        <v>19</v>
      </c>
      <c r="R10" s="209"/>
      <c r="S10" s="112" t="s">
        <v>20</v>
      </c>
      <c r="T10" s="36"/>
      <c r="U10" s="36"/>
      <c r="V10" s="36"/>
      <c r="W10" s="36"/>
      <c r="X10" s="36"/>
      <c r="Y10" s="36"/>
      <c r="Z10" s="36"/>
      <c r="AA10" s="36"/>
      <c r="AB10" s="36"/>
      <c r="AC10" s="36"/>
      <c r="AD10" s="36"/>
      <c r="AE10" s="36"/>
      <c r="AF10" s="36"/>
      <c r="AG10" s="36"/>
      <c r="AH10" s="50"/>
    </row>
    <row r="11" spans="1:34" ht="24.45" customHeight="1" thickBot="1" x14ac:dyDescent="0.35">
      <c r="A11" s="48"/>
      <c r="B11" s="113"/>
      <c r="C11" s="113"/>
      <c r="D11" s="113"/>
      <c r="E11" s="114"/>
      <c r="F11" s="114"/>
      <c r="G11" s="114"/>
      <c r="H11" s="114"/>
      <c r="I11" s="114"/>
      <c r="J11" s="114"/>
      <c r="K11" s="114"/>
      <c r="L11" s="114"/>
      <c r="M11" s="114"/>
      <c r="N11" s="110"/>
      <c r="O11" s="110"/>
      <c r="P11" s="104">
        <f>calculations!E60</f>
        <v>0.73819951338199519</v>
      </c>
      <c r="Q11" s="210"/>
      <c r="R11" s="211"/>
      <c r="S11" s="105">
        <f>calculations!X60</f>
        <v>0.85116279069767442</v>
      </c>
      <c r="T11" s="36"/>
      <c r="U11" s="113"/>
      <c r="V11" s="113"/>
      <c r="W11" s="114"/>
      <c r="X11" s="114"/>
      <c r="Y11" s="36"/>
      <c r="Z11" s="36"/>
      <c r="AA11" s="36"/>
      <c r="AB11" s="36"/>
      <c r="AC11" s="36"/>
      <c r="AD11" s="36"/>
      <c r="AE11" s="36"/>
      <c r="AF11" s="110"/>
      <c r="AG11" s="110"/>
      <c r="AH11" s="50"/>
    </row>
    <row r="12" spans="1:34" ht="14.7" customHeight="1" thickBot="1" x14ac:dyDescent="0.35">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x14ac:dyDescent="0.3">
      <c r="A13" s="48"/>
      <c r="B13" s="36"/>
      <c r="C13" s="36"/>
      <c r="D13" s="36"/>
      <c r="E13" s="36"/>
      <c r="F13" s="36"/>
      <c r="G13" s="36"/>
      <c r="H13" s="36"/>
      <c r="I13" s="36"/>
      <c r="J13" s="36"/>
      <c r="K13" s="36"/>
      <c r="L13" s="36"/>
      <c r="M13" s="36"/>
      <c r="N13" s="36"/>
      <c r="O13" s="36"/>
      <c r="P13" s="116" t="s">
        <v>18</v>
      </c>
      <c r="Q13" s="208" t="s">
        <v>17</v>
      </c>
      <c r="R13" s="209"/>
      <c r="S13" s="112" t="s">
        <v>20</v>
      </c>
      <c r="T13" s="36"/>
      <c r="U13" s="117"/>
      <c r="V13" s="117"/>
      <c r="W13" s="117"/>
      <c r="X13" s="117"/>
      <c r="Y13" s="36"/>
      <c r="Z13" s="36"/>
      <c r="AA13" s="36"/>
      <c r="AB13" s="36"/>
      <c r="AC13" s="36"/>
      <c r="AD13" s="36"/>
      <c r="AE13" s="36"/>
      <c r="AF13" s="117"/>
      <c r="AG13" s="117"/>
      <c r="AH13" s="50"/>
    </row>
    <row r="14" spans="1:34" ht="24.45" customHeight="1" thickBot="1" x14ac:dyDescent="0.35">
      <c r="A14" s="48"/>
      <c r="B14" s="118"/>
      <c r="C14" s="118"/>
      <c r="D14" s="118"/>
      <c r="E14" s="118"/>
      <c r="F14" s="36"/>
      <c r="G14" s="36"/>
      <c r="H14" s="36"/>
      <c r="I14" s="36"/>
      <c r="J14" s="36"/>
      <c r="K14" s="36"/>
      <c r="L14" s="36"/>
      <c r="M14" s="36"/>
      <c r="N14" s="36"/>
      <c r="O14" s="36"/>
      <c r="P14" s="105">
        <f>calculations!J60</f>
        <v>0.77030735455543353</v>
      </c>
      <c r="Q14" s="210"/>
      <c r="R14" s="211"/>
      <c r="S14" s="105">
        <f>calculations!AC60</f>
        <v>0.86651927594307032</v>
      </c>
      <c r="T14" s="36"/>
      <c r="U14" s="36"/>
      <c r="V14" s="36"/>
      <c r="W14" s="36"/>
      <c r="X14" s="36"/>
      <c r="Y14" s="36"/>
      <c r="Z14" s="36"/>
      <c r="AA14" s="36"/>
      <c r="AB14" s="36"/>
      <c r="AC14" s="36"/>
      <c r="AD14" s="36"/>
      <c r="AE14" s="36"/>
      <c r="AF14" s="36"/>
      <c r="AG14" s="36"/>
      <c r="AH14" s="50"/>
    </row>
    <row r="15" spans="1:34" ht="14.7" customHeight="1" thickBot="1" x14ac:dyDescent="0.35">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x14ac:dyDescent="0.3">
      <c r="A16" s="48"/>
      <c r="B16" s="118"/>
      <c r="C16" s="118"/>
      <c r="D16" s="118"/>
      <c r="E16" s="118"/>
      <c r="F16" s="36"/>
      <c r="G16" s="36"/>
      <c r="H16" s="36"/>
      <c r="I16" s="36"/>
      <c r="J16" s="36"/>
      <c r="K16" s="36"/>
      <c r="L16" s="36"/>
      <c r="M16" s="36"/>
      <c r="N16" s="36"/>
      <c r="O16" s="36"/>
      <c r="P16" s="116" t="s">
        <v>18</v>
      </c>
      <c r="Q16" s="208" t="s">
        <v>21</v>
      </c>
      <c r="R16" s="209"/>
      <c r="S16" s="112" t="s">
        <v>20</v>
      </c>
      <c r="T16" s="36"/>
      <c r="U16" s="36"/>
      <c r="V16" s="36"/>
      <c r="W16" s="36"/>
      <c r="X16" s="36"/>
      <c r="Y16" s="36"/>
      <c r="Z16" s="36"/>
      <c r="AA16" s="120"/>
      <c r="AB16" s="36"/>
      <c r="AC16" s="36"/>
      <c r="AD16" s="36"/>
      <c r="AE16" s="36"/>
      <c r="AF16" s="36"/>
      <c r="AG16" s="36"/>
      <c r="AH16" s="50"/>
    </row>
    <row r="17" spans="1:34" ht="24.45" customHeight="1" thickBot="1" x14ac:dyDescent="0.35">
      <c r="A17" s="48"/>
      <c r="B17" s="118"/>
      <c r="C17" s="118"/>
      <c r="D17" s="118"/>
      <c r="E17" s="118"/>
      <c r="F17" s="36"/>
      <c r="G17" s="36"/>
      <c r="H17" s="36"/>
      <c r="I17" s="36"/>
      <c r="J17" s="36"/>
      <c r="K17" s="36"/>
      <c r="L17" s="36"/>
      <c r="M17" s="36"/>
      <c r="N17" s="36"/>
      <c r="O17" s="36"/>
      <c r="P17" s="103">
        <f>calculations!H60</f>
        <v>0.6074100463127895</v>
      </c>
      <c r="Q17" s="210"/>
      <c r="R17" s="211"/>
      <c r="S17" s="103">
        <f>calculations!AA60</f>
        <v>0.48365491947057881</v>
      </c>
      <c r="T17" s="36"/>
      <c r="U17" s="36"/>
      <c r="V17" s="36"/>
      <c r="W17" s="36"/>
      <c r="X17" s="36"/>
      <c r="Y17" s="36"/>
      <c r="Z17" s="36"/>
      <c r="AA17" s="119"/>
      <c r="AB17" s="36"/>
      <c r="AC17" s="36"/>
      <c r="AD17" s="36"/>
      <c r="AE17" s="36"/>
      <c r="AF17" s="36"/>
      <c r="AG17" s="36"/>
      <c r="AH17" s="50"/>
    </row>
    <row r="18" spans="1:34" ht="14.7" customHeight="1" thickBot="1" x14ac:dyDescent="0.35">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x14ac:dyDescent="0.3">
      <c r="A19" s="48"/>
      <c r="B19" s="121"/>
      <c r="C19" s="121"/>
      <c r="D19" s="121"/>
      <c r="E19" s="121"/>
      <c r="F19" s="36"/>
      <c r="G19" s="36"/>
      <c r="H19" s="36"/>
      <c r="I19" s="36"/>
      <c r="J19" s="36"/>
      <c r="K19" s="36"/>
      <c r="L19" s="36"/>
      <c r="M19" s="36"/>
      <c r="N19" s="36"/>
      <c r="O19" s="36"/>
      <c r="P19" s="111" t="s">
        <v>18</v>
      </c>
      <c r="Q19" s="208" t="s">
        <v>22</v>
      </c>
      <c r="R19" s="209"/>
      <c r="S19" s="112" t="s">
        <v>20</v>
      </c>
      <c r="T19" s="36"/>
      <c r="U19" s="36"/>
      <c r="V19" s="36"/>
      <c r="W19" s="36"/>
      <c r="X19" s="36"/>
      <c r="Y19" s="36"/>
      <c r="Z19" s="119"/>
      <c r="AA19" s="119"/>
      <c r="AB19" s="36"/>
      <c r="AC19" s="36"/>
      <c r="AD19" s="36"/>
      <c r="AE19" s="36"/>
      <c r="AF19" s="36"/>
      <c r="AG19" s="36"/>
      <c r="AH19" s="50"/>
    </row>
    <row r="20" spans="1:34" ht="24.45" customHeight="1" thickBot="1" x14ac:dyDescent="0.35">
      <c r="A20" s="48"/>
      <c r="B20" s="36"/>
      <c r="C20" s="36"/>
      <c r="D20" s="36"/>
      <c r="E20" s="36"/>
      <c r="F20" s="36"/>
      <c r="G20" s="36"/>
      <c r="H20" s="36"/>
      <c r="I20" s="36"/>
      <c r="J20" s="36"/>
      <c r="K20" s="36"/>
      <c r="L20" s="36"/>
      <c r="M20" s="36"/>
      <c r="N20" s="36"/>
      <c r="O20" s="36"/>
      <c r="P20" s="104">
        <f>calculations!M60</f>
        <v>0.69129287598944589</v>
      </c>
      <c r="Q20" s="210"/>
      <c r="R20" s="211"/>
      <c r="S20" s="104">
        <f>calculations!AF60</f>
        <v>0.66570605187319887</v>
      </c>
      <c r="T20" s="36"/>
      <c r="U20" s="36"/>
      <c r="V20" s="36"/>
      <c r="W20" s="36"/>
      <c r="X20" s="122"/>
      <c r="Y20" s="122"/>
      <c r="Z20" s="122"/>
      <c r="AA20" s="122"/>
      <c r="AB20" s="36"/>
      <c r="AC20" s="36"/>
      <c r="AD20" s="36"/>
      <c r="AE20" s="36"/>
      <c r="AF20" s="122"/>
      <c r="AG20" s="123"/>
      <c r="AH20" s="50"/>
    </row>
    <row r="21" spans="1:34" ht="14.7" customHeight="1" thickBot="1" x14ac:dyDescent="0.35">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x14ac:dyDescent="0.3">
      <c r="A22" s="48"/>
      <c r="B22" s="36"/>
      <c r="C22" s="36"/>
      <c r="D22" s="36"/>
      <c r="E22" s="36"/>
      <c r="F22" s="36"/>
      <c r="G22" s="36"/>
      <c r="H22" s="36"/>
      <c r="I22" s="36"/>
      <c r="J22" s="36"/>
      <c r="K22" s="36"/>
      <c r="L22" s="36"/>
      <c r="M22" s="36"/>
      <c r="N22" s="36"/>
      <c r="O22" s="36"/>
      <c r="P22" s="116" t="s">
        <v>18</v>
      </c>
      <c r="Q22" s="208" t="s">
        <v>23</v>
      </c>
      <c r="R22" s="209"/>
      <c r="S22" s="112" t="s">
        <v>20</v>
      </c>
      <c r="T22" s="36"/>
      <c r="U22" s="36"/>
      <c r="V22" s="36"/>
      <c r="W22" s="36"/>
      <c r="X22" s="109"/>
      <c r="Y22" s="109"/>
      <c r="Z22" s="109"/>
      <c r="AA22" s="109"/>
      <c r="AB22" s="36"/>
      <c r="AC22" s="36"/>
      <c r="AD22" s="36"/>
      <c r="AE22" s="36"/>
      <c r="AF22" s="109"/>
      <c r="AG22" s="109"/>
      <c r="AH22" s="50"/>
    </row>
    <row r="23" spans="1:34" ht="24.45" customHeight="1" thickBot="1" x14ac:dyDescent="0.35">
      <c r="A23" s="48"/>
      <c r="B23" s="36"/>
      <c r="C23" s="36"/>
      <c r="D23" s="36"/>
      <c r="E23" s="36"/>
      <c r="F23" s="36"/>
      <c r="G23" s="36"/>
      <c r="H23" s="36"/>
      <c r="I23" s="36"/>
      <c r="J23" s="36"/>
      <c r="K23" s="36"/>
      <c r="L23" s="36"/>
      <c r="M23" s="36"/>
      <c r="N23" s="36"/>
      <c r="O23" s="36"/>
      <c r="P23" s="106">
        <f>calculations!F46+calculations!N61</f>
        <v>719</v>
      </c>
      <c r="Q23" s="210"/>
      <c r="R23" s="211"/>
      <c r="S23" s="107">
        <f>calculations!Y46+calculations!AG61</f>
        <v>634</v>
      </c>
      <c r="T23" s="36"/>
      <c r="U23" s="36"/>
      <c r="V23" s="36"/>
      <c r="W23" s="36"/>
      <c r="X23" s="117"/>
      <c r="Y23" s="117"/>
      <c r="Z23" s="117"/>
      <c r="AA23" s="117"/>
      <c r="AB23" s="36"/>
      <c r="AC23" s="36"/>
      <c r="AD23" s="36"/>
      <c r="AE23" s="36"/>
      <c r="AF23" s="117"/>
      <c r="AG23" s="36"/>
      <c r="AH23" s="50"/>
    </row>
    <row r="24" spans="1:34" ht="14.7" customHeight="1" x14ac:dyDescent="0.3">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x14ac:dyDescent="0.3">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x14ac:dyDescent="0.35">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x14ac:dyDescent="0.4">
      <c r="A27" s="48"/>
      <c r="B27" s="145"/>
      <c r="C27" s="146">
        <f>calculations!B84</f>
        <v>45352</v>
      </c>
      <c r="D27" s="146">
        <f>calculations!B85</f>
        <v>45383</v>
      </c>
      <c r="E27" s="146">
        <f>calculations!B86</f>
        <v>45413</v>
      </c>
      <c r="F27" s="146">
        <f>calculations!B87</f>
        <v>45444</v>
      </c>
      <c r="G27" s="146">
        <f>calculations!B88</f>
        <v>45474</v>
      </c>
      <c r="H27" s="146">
        <f>calculations!B89</f>
        <v>45505</v>
      </c>
      <c r="I27" s="146">
        <f>calculations!B90</f>
        <v>45536</v>
      </c>
      <c r="J27" s="146">
        <f>calculations!B91</f>
        <v>45566</v>
      </c>
      <c r="K27" s="146">
        <f>calculations!B92</f>
        <v>45597</v>
      </c>
      <c r="L27" s="146">
        <f>calculations!B93</f>
        <v>45627</v>
      </c>
      <c r="M27" s="146">
        <f>calculations!B94</f>
        <v>45658</v>
      </c>
      <c r="N27" s="146">
        <f>calculations!B95</f>
        <v>45689</v>
      </c>
      <c r="O27" s="147" t="s">
        <v>24</v>
      </c>
      <c r="P27" s="230" t="s">
        <v>25</v>
      </c>
      <c r="Q27" s="231"/>
      <c r="R27" s="231"/>
      <c r="S27" s="232"/>
      <c r="T27" s="148"/>
      <c r="U27" s="146">
        <f>calculations!U84</f>
        <v>44986</v>
      </c>
      <c r="V27" s="146">
        <f>calculations!U85</f>
        <v>45017</v>
      </c>
      <c r="W27" s="146">
        <f>calculations!U86</f>
        <v>45047</v>
      </c>
      <c r="X27" s="146">
        <f>calculations!U87</f>
        <v>45078</v>
      </c>
      <c r="Y27" s="146">
        <f>calculations!U88</f>
        <v>45108</v>
      </c>
      <c r="Z27" s="146">
        <f>calculations!U89</f>
        <v>45139</v>
      </c>
      <c r="AA27" s="146">
        <f>calculations!U90</f>
        <v>45170</v>
      </c>
      <c r="AB27" s="146">
        <f>calculations!U91</f>
        <v>45200</v>
      </c>
      <c r="AC27" s="146">
        <f>calculations!U92</f>
        <v>45231</v>
      </c>
      <c r="AD27" s="146">
        <f>calculations!U93</f>
        <v>45261</v>
      </c>
      <c r="AE27" s="146">
        <f>calculations!U94</f>
        <v>45292</v>
      </c>
      <c r="AF27" s="146">
        <f>calculations!U95</f>
        <v>45323</v>
      </c>
      <c r="AG27" s="147" t="s">
        <v>24</v>
      </c>
      <c r="AH27" s="50"/>
    </row>
    <row r="28" spans="1:34" ht="21.45" customHeight="1" x14ac:dyDescent="0.3">
      <c r="A28" s="48"/>
      <c r="B28" s="131"/>
      <c r="C28" s="132">
        <f>IF(calculations!$A80=5,"---",IF(calculations!$A80=5,"---",calculations!C84))</f>
        <v>0.63414634146341464</v>
      </c>
      <c r="D28" s="132">
        <f>IF(calculations!$A80=5,"---",IF(calculations!$A80=5,"---",calculations!$C85))</f>
        <v>0.63636363636363635</v>
      </c>
      <c r="E28" s="132">
        <f>IF(calculations!$A80=5,"---",IF(calculations!$A80=5,"---",calculations!$C86))</f>
        <v>0.76</v>
      </c>
      <c r="F28" s="132">
        <f>IF(calculations!$A80=5,"---",IF(calculations!$A80=5,"---",calculations!$C87))</f>
        <v>0.66666666666666663</v>
      </c>
      <c r="G28" s="132">
        <f>IF(calculations!$A80=5,"---",IF(calculations!$A80=5,"---",calculations!$C88))</f>
        <v>0.77142857142857146</v>
      </c>
      <c r="H28" s="132">
        <f>IF(calculations!$A80=5,"---",IF(calculations!$A80=5,"---",calculations!$C89))</f>
        <v>0.62857142857142856</v>
      </c>
      <c r="I28" s="132">
        <f>IF(calculations!$A80=5,"---",IF(calculations!$A80=5,"---",calculations!$C90))</f>
        <v>0.66666666666666663</v>
      </c>
      <c r="J28" s="132">
        <f>IF(calculations!$A80=5,"---",IF(calculations!$A80=5,"---",calculations!$C91))</f>
        <v>0.78787878787878785</v>
      </c>
      <c r="K28" s="132">
        <f>IF(calculations!$A80=5,"---",IF(calculations!$A80=5,"---",calculations!$C92))</f>
        <v>0.75</v>
      </c>
      <c r="L28" s="132">
        <f>IF(calculations!$A80=5,"---",IF(calculations!$A80=5,"---",calculations!$C93))</f>
        <v>0.7931034482758621</v>
      </c>
      <c r="M28" s="132">
        <f>IF(calculations!$A80=5,"---",IF(calculations!$A80=5,"---",calculations!$C94))</f>
        <v>0.65217391304347827</v>
      </c>
      <c r="N28" s="132">
        <f>IF(calculations!$A80=5,"---",IF(calculations!$A80=5,"---",calculations!$C95))</f>
        <v>0.54166666666666663</v>
      </c>
      <c r="O28" s="133">
        <f>IF(calculations!$A80=5,"---",IF(calculations!$A80=5,"---",calculations!$C96))</f>
        <v>0.689873417721519</v>
      </c>
      <c r="P28" s="233" t="str">
        <f>IF(P8="Youth Seen","--------------------",P8&amp;" %")</f>
        <v>Outcomes %</v>
      </c>
      <c r="Q28" s="234"/>
      <c r="R28" s="234"/>
      <c r="S28" s="235"/>
      <c r="T28" s="131"/>
      <c r="U28" s="132">
        <f>IF(calculations!$A80=5,"---",IF(calculations!$A80=5,"---",calculations!V84))</f>
        <v>0.68571428571428572</v>
      </c>
      <c r="V28" s="132">
        <f>IF(calculations!$A80=5,"---",IF(calculations!$A80=5,"---",calculations!$V85))</f>
        <v>0.43333333333333335</v>
      </c>
      <c r="W28" s="132">
        <f>IF(calculations!$A80=5,"---",IF(calculations!$A80=5,"---",calculations!$V86))</f>
        <v>0.5714285714285714</v>
      </c>
      <c r="X28" s="132">
        <f>IF(calculations!$A80=5,"---",IF(calculations!$A80=5,"---",calculations!$V87))</f>
        <v>0.68</v>
      </c>
      <c r="Y28" s="132">
        <f>IF(calculations!$A80=5,"---",IF(calculations!$A80=5,"---",calculations!$V88))</f>
        <v>0.5357142857142857</v>
      </c>
      <c r="Z28" s="132">
        <f>IF(calculations!$A80=5,"---",IF(calculations!$A80=5,"---",calculations!$V89))</f>
        <v>0.69230769230769229</v>
      </c>
      <c r="AA28" s="132">
        <f>IF(calculations!$A80=5,"---",IF(calculations!$A80=5,"---",calculations!$V90))</f>
        <v>0.84615384615384615</v>
      </c>
      <c r="AB28" s="132">
        <f>IF(calculations!$A80=5,"---",IF(calculations!$A80=5,"---",calculations!$V91))</f>
        <v>0.7857142857142857</v>
      </c>
      <c r="AC28" s="132">
        <f>IF(calculations!$A80=5,"---",IF(calculations!$A80=5,"---",calculations!$V92))</f>
        <v>0.67567567567567566</v>
      </c>
      <c r="AD28" s="132">
        <f>IF(calculations!$A80=5,"---",IF(calculations!$A80=5,"---",calculations!$V93))</f>
        <v>0.63888888888888884</v>
      </c>
      <c r="AE28" s="132">
        <f>IF(calculations!$A80=5,"---",IF(calculations!$A80=5,"---",calculations!$V94))</f>
        <v>0.7857142857142857</v>
      </c>
      <c r="AF28" s="132">
        <f>IF(calculations!$A80=5,"---",IF(calculations!$A80=5,"---",calculations!$V95))</f>
        <v>0.59259259259259256</v>
      </c>
      <c r="AG28" s="134">
        <f>IF(calculations!$A80=5,"---",IF(calculations!$A80=5,"---",calculations!$V96))</f>
        <v>0.66551724137931034</v>
      </c>
      <c r="AH28" s="50"/>
    </row>
    <row r="29" spans="1:34" ht="21.45" customHeight="1" x14ac:dyDescent="0.3">
      <c r="A29" s="48"/>
      <c r="B29" s="135"/>
      <c r="C29" s="136">
        <f>IF(calculations!B84="","---",IF(calculations!D84="","---",ROUND(calculations!D84,1)))</f>
        <v>26</v>
      </c>
      <c r="D29" s="136">
        <f>IF(calculations!$B85="","---",IF(calculations!$D85="","---",ROUND(calculations!$D85,1)))</f>
        <v>21</v>
      </c>
      <c r="E29" s="136">
        <f>IF(calculations!$B86="","---",IF(calculations!$D86="","---",ROUND(calculations!$D86,1)))</f>
        <v>19</v>
      </c>
      <c r="F29" s="136">
        <f>IF(calculations!$B87="","---",IF(calculations!$D87="","---",ROUND(calculations!$D87,1)))</f>
        <v>22</v>
      </c>
      <c r="G29" s="136">
        <f>IF(calculations!$B88="","---",IF(calculations!$D88="","---",ROUND(calculations!$D88,1)))</f>
        <v>27</v>
      </c>
      <c r="H29" s="136">
        <f>IF(calculations!$B89="","---",IF(calculations!$D89="","---",ROUND(calculations!$D89,1)))</f>
        <v>22</v>
      </c>
      <c r="I29" s="136">
        <f>IF(calculations!$B90="","---",IF(calculations!$D90="","---",ROUND(calculations!$D90,1)))</f>
        <v>24</v>
      </c>
      <c r="J29" s="136">
        <f>IF(calculations!$B91="","---",IF(calculations!$D91="","---",ROUND(calculations!$D91,1)))</f>
        <v>26</v>
      </c>
      <c r="K29" s="136">
        <f>IF(calculations!$B92="","---",IF(calculations!$D92="","---",ROUND(calculations!$D92,1)))</f>
        <v>24</v>
      </c>
      <c r="L29" s="136">
        <f>IF(calculations!$B93="","---",IF(calculations!$D93="","---",ROUND(calculations!$D93,1)))</f>
        <v>23</v>
      </c>
      <c r="M29" s="136">
        <f>IF(calculations!$B94="","---",IF(calculations!$D94="","---",ROUND(calculations!$D94,1)))</f>
        <v>15</v>
      </c>
      <c r="N29" s="136">
        <f>IF(calculations!$B95="","---",IF(calculations!$D95="","---",ROUND(calculations!$D95,1)))</f>
        <v>13</v>
      </c>
      <c r="O29" s="137">
        <f>IF(calculations!$B96="","---",IF(calculations!$D96="","---",ROUND(calculations!$D96,1)))</f>
        <v>21.8</v>
      </c>
      <c r="P29" s="233" t="str">
        <f>IF(calculations!D83="","---------------------",calculations!D83)</f>
        <v>Successful Discharges</v>
      </c>
      <c r="Q29" s="234"/>
      <c r="R29" s="234"/>
      <c r="S29" s="235"/>
      <c r="T29" s="138"/>
      <c r="U29" s="136">
        <f>IF(calculations!$U84="","---",IF(calculations!$W84="","---",ROUND(calculations!$W84,1)))</f>
        <v>24</v>
      </c>
      <c r="V29" s="136">
        <f>IF(calculations!$U85="","---",IF(calculations!$W85="","---",ROUND(calculations!$W85,1)))</f>
        <v>13</v>
      </c>
      <c r="W29" s="136">
        <f>IF(calculations!$U86="","---",IF(calculations!$W86="","---",ROUND(calculations!$W86,1)))</f>
        <v>12</v>
      </c>
      <c r="X29" s="136">
        <f>IF(calculations!$U87="","---",IF(calculations!$W87="","---",ROUND(calculations!$W87,1)))</f>
        <v>17</v>
      </c>
      <c r="Y29" s="136">
        <f>IF(calculations!$U88="","---",IF(calculations!$W88="","---",ROUND(calculations!$W88,1)))</f>
        <v>15</v>
      </c>
      <c r="Z29" s="136">
        <f>IF(calculations!$U89="","---",IF(calculations!$W89="","---",ROUND(calculations!$W89,1)))</f>
        <v>9</v>
      </c>
      <c r="AA29" s="136">
        <f>IF(calculations!$U90="","---",IF(calculations!$W90="","---",ROUND(calculations!$W90,1)))</f>
        <v>33</v>
      </c>
      <c r="AB29" s="136">
        <f>IF(calculations!$U91="","---",IF(calculations!$W91="","---",ROUND(calculations!$W91,1)))</f>
        <v>22</v>
      </c>
      <c r="AC29" s="136">
        <f>IF(calculations!$U92="","---",IF(calculations!$W92="","---",ROUND(calculations!$W92,1)))</f>
        <v>25</v>
      </c>
      <c r="AD29" s="136">
        <f>IF(calculations!$U93="","---",IF(calculations!$W93="","---",ROUND(calculations!$W93,1)))</f>
        <v>23</v>
      </c>
      <c r="AE29" s="136">
        <f>IF(calculations!$U94="","---",IF(calculations!$W94="","---",ROUND(calculations!$W94,1)))</f>
        <v>22</v>
      </c>
      <c r="AF29" s="136">
        <f>IF(calculations!$U95="","---",IF(calculations!$W95="","---",ROUND(calculations!$W95,1)))</f>
        <v>16</v>
      </c>
      <c r="AG29" s="139">
        <f>IF(calculations!$U96="","---",ROUND(AVERAGE(U29:AF29),1))</f>
        <v>19.3</v>
      </c>
      <c r="AH29" s="50"/>
    </row>
    <row r="30" spans="1:34" ht="21.45" customHeight="1" x14ac:dyDescent="0.3">
      <c r="A30" s="48"/>
      <c r="B30" s="135"/>
      <c r="C30" s="136">
        <f>IF(calculations!$B84="","---",IF(calculations!$E84="","---",ROUND(calculations!$E84,1)))</f>
        <v>15</v>
      </c>
      <c r="D30" s="136">
        <f>IF(calculations!$B85="","---",IF(calculations!$E85="","---",ROUND(calculations!$E85,1)))</f>
        <v>12</v>
      </c>
      <c r="E30" s="136">
        <f>IF(calculations!$B86="","---",IF(calculations!$E86="","---",ROUND(calculations!$E86,1)))</f>
        <v>6</v>
      </c>
      <c r="F30" s="136">
        <f>IF(calculations!$B87="","---",IF(calculations!$E87="","---",ROUND(calculations!$E87,1)))</f>
        <v>11</v>
      </c>
      <c r="G30" s="136">
        <f>IF(calculations!$B88="","---",IF(calculations!$E88="","---",ROUND(calculations!$E88,1)))</f>
        <v>8</v>
      </c>
      <c r="H30" s="136">
        <f>IF(calculations!$B89="","---",IF(calculations!$E89="","---",ROUND(calculations!$E89,1)))</f>
        <v>13</v>
      </c>
      <c r="I30" s="136">
        <f>IF(calculations!$B90="","---",IF(calculations!$E90="","---",ROUND(calculations!$E90,1)))</f>
        <v>12</v>
      </c>
      <c r="J30" s="136">
        <f>IF(calculations!$B91="","---",IF(calculations!$E91="","---",ROUND(calculations!$E91,1)))</f>
        <v>7</v>
      </c>
      <c r="K30" s="136">
        <f>IF(calculations!$B92="","---",IF(calculations!$E92="","---",ROUND(calculations!$E92,1)))</f>
        <v>8</v>
      </c>
      <c r="L30" s="136">
        <f>IF(calculations!$B93="","---",IF(calculations!$E93="","---",ROUND(calculations!$E93,1)))</f>
        <v>6</v>
      </c>
      <c r="M30" s="136">
        <f>IF(calculations!$B94="","---",IF(calculations!$E94="","---",ROUND(calculations!$E94,1)))</f>
        <v>8</v>
      </c>
      <c r="N30" s="136">
        <f>IF(calculations!$B95="","---",IF(calculations!$E95="","---",ROUND(calculations!$E95,1)))</f>
        <v>11</v>
      </c>
      <c r="O30" s="137">
        <f>IF(calculations!$B96="","---",IF(calculations!$E96="","---",ROUND(calculations!$E96,1)))</f>
        <v>9.8000000000000007</v>
      </c>
      <c r="P30" s="233" t="str">
        <f>IF(calculations!E83="","---------------------",calculations!E83)</f>
        <v>Unsuccessful Discharges</v>
      </c>
      <c r="Q30" s="234"/>
      <c r="R30" s="234"/>
      <c r="S30" s="235"/>
      <c r="T30" s="138"/>
      <c r="U30" s="136">
        <f>IF(calculations!$U84="","---",IF(calculations!$X84="","---",ROUND(calculations!$X84,1)))</f>
        <v>11</v>
      </c>
      <c r="V30" s="136">
        <f>IF(calculations!$U85="","---",IF(calculations!$X85="","---",ROUND(calculations!$X85,1)))</f>
        <v>17</v>
      </c>
      <c r="W30" s="136">
        <f>IF(calculations!$U86="","---",IF(calculations!$X86="","---",ROUND(calculations!$X86,1)))</f>
        <v>9</v>
      </c>
      <c r="X30" s="136">
        <f>IF(calculations!$U87="","---",IF(calculations!$X87="","---",ROUND(calculations!$X87,1)))</f>
        <v>8</v>
      </c>
      <c r="Y30" s="136">
        <f>IF(calculations!$U88="","---",IF(calculations!$X88="","---",ROUND(calculations!$X88,1)))</f>
        <v>13</v>
      </c>
      <c r="Z30" s="136">
        <f>IF(calculations!$U89="","---",IF(calculations!$X89="","---",ROUND(calculations!$X89,1)))</f>
        <v>4</v>
      </c>
      <c r="AA30" s="136">
        <f>IF(calculations!$U90="","---",IF(calculations!$X90="","---",ROUND(calculations!$X90,1)))</f>
        <v>6</v>
      </c>
      <c r="AB30" s="136">
        <f>IF(calculations!$U91="","---",IF(calculations!$X91="","---",ROUND(calculations!$X91,1)))</f>
        <v>6</v>
      </c>
      <c r="AC30" s="136">
        <f>IF(calculations!$U92="","---",IF(calculations!$X92="","---",ROUND(calculations!$X92,1)))</f>
        <v>12</v>
      </c>
      <c r="AD30" s="136">
        <f>IF(calculations!$U93="","---",IF(calculations!$X93="","---",ROUND(calculations!$X93,1)))</f>
        <v>13</v>
      </c>
      <c r="AE30" s="136">
        <f>IF(calculations!$U94="","---",IF(calculations!$X94="","---",ROUND(calculations!$X94,1)))</f>
        <v>6</v>
      </c>
      <c r="AF30" s="136">
        <f>IF(calculations!$U95="","---",IF(calculations!$X95="","---",ROUND(calculations!$X95,1)))</f>
        <v>11</v>
      </c>
      <c r="AG30" s="139">
        <f>IF(calculations!$U96="","---",ROUND(AVERAGE(U30:AF30),1))</f>
        <v>9.6999999999999993</v>
      </c>
      <c r="AH30" s="50"/>
    </row>
    <row r="31" spans="1:34" ht="21.45" customHeight="1" x14ac:dyDescent="0.3">
      <c r="A31" s="48"/>
      <c r="B31" s="135"/>
      <c r="C31" s="136">
        <f>IF(calculations!$B84="","---",IF(calculations!$F84="","---",ROUND(calculations!$F84,1)))</f>
        <v>41</v>
      </c>
      <c r="D31" s="136">
        <f>IF(calculations!$B85="","---",IF(calculations!$F85="","---",ROUND(calculations!$F85,1)))</f>
        <v>33</v>
      </c>
      <c r="E31" s="136">
        <f>IF(calculations!$B86="","---",IF(calculations!$F86="","---",ROUND(calculations!$F86,1)))</f>
        <v>25</v>
      </c>
      <c r="F31" s="136">
        <f>IF(calculations!$B87="","---",IF(calculations!$F87="","---",ROUND(calculations!$F87,1)))</f>
        <v>33</v>
      </c>
      <c r="G31" s="136">
        <f>IF(calculations!$B88="","---",IF(calculations!$F88="","---",ROUND(calculations!$F88,1)))</f>
        <v>35</v>
      </c>
      <c r="H31" s="136">
        <f>IF(calculations!$B89="","---",IF(calculations!$F89="","---",ROUND(calculations!$F89,1)))</f>
        <v>35</v>
      </c>
      <c r="I31" s="136">
        <f>IF(calculations!$B90="","---",IF(calculations!$F90="","---",ROUND(calculations!$F90,1)))</f>
        <v>36</v>
      </c>
      <c r="J31" s="136">
        <f>IF(calculations!$B91="","---",IF(calculations!$F91="","---",ROUND(calculations!$F91,1)))</f>
        <v>33</v>
      </c>
      <c r="K31" s="136">
        <f>IF(calculations!$B92="","---",IF(calculations!$F92="","---",ROUND(calculations!$F92,1)))</f>
        <v>32</v>
      </c>
      <c r="L31" s="136">
        <f>IF(calculations!$B93="","---",IF(calculations!$F93="","---",ROUND(calculations!$F93,1)))</f>
        <v>29</v>
      </c>
      <c r="M31" s="136">
        <f>IF(calculations!$B94="","---",IF(calculations!$F94="","---",ROUND(calculations!$F94,1)))</f>
        <v>23</v>
      </c>
      <c r="N31" s="136">
        <f>IF(calculations!$B95="","---",IF(calculations!$F95="","---",ROUND(calculations!$F95,1)))</f>
        <v>24</v>
      </c>
      <c r="O31" s="137">
        <f>IF(calculations!$B96="","---",IF(calculations!$F96="","---",ROUND(calculations!$F96,1)))</f>
        <v>31.6</v>
      </c>
      <c r="P31" s="233" t="str">
        <f>IF(calculations!F83="","---------------------",calculations!F83)</f>
        <v>Total Discharges</v>
      </c>
      <c r="Q31" s="234"/>
      <c r="R31" s="234"/>
      <c r="S31" s="235"/>
      <c r="T31" s="140"/>
      <c r="U31" s="136">
        <f>IF(calculations!$U84="","---",IF(calculations!$Y84="","---",ROUND(calculations!$Y84,1)))</f>
        <v>35</v>
      </c>
      <c r="V31" s="136">
        <f>IF(calculations!$U85="","---",IF(calculations!$Y85="","---",ROUND(calculations!$Y85,1)))</f>
        <v>30</v>
      </c>
      <c r="W31" s="136">
        <f>IF(calculations!$U86="","---",IF(calculations!$Y86="","---",ROUND(calculations!$Y86,1)))</f>
        <v>21</v>
      </c>
      <c r="X31" s="136">
        <f>IF(calculations!$U87="","---",IF(calculations!$Y87="","---",ROUND(calculations!$Y87,1)))</f>
        <v>25</v>
      </c>
      <c r="Y31" s="136">
        <f>IF(calculations!$U88="","---",IF(calculations!$Y88="","---",ROUND(calculations!$Y88,1)))</f>
        <v>28</v>
      </c>
      <c r="Z31" s="136">
        <f>IF(calculations!$U89="","---",IF(calculations!$Y89="","---",ROUND(calculations!$Y89,1)))</f>
        <v>13</v>
      </c>
      <c r="AA31" s="136">
        <f>IF(calculations!$U90="","---",IF(calculations!$Y90="","---",ROUND(calculations!$Y90,1)))</f>
        <v>39</v>
      </c>
      <c r="AB31" s="136">
        <f>IF(calculations!$U91="","---",IF(calculations!$Y91="","---",ROUND(calculations!$Y91,1)))</f>
        <v>28</v>
      </c>
      <c r="AC31" s="136">
        <f>IF(calculations!$U92="","---",IF(calculations!$Y92="","---",ROUND(calculations!$Y92,1)))</f>
        <v>37</v>
      </c>
      <c r="AD31" s="136">
        <f>IF(calculations!$U93="","---",IF(calculations!$Y93="","---",ROUND(calculations!$Y93,1)))</f>
        <v>36</v>
      </c>
      <c r="AE31" s="136">
        <f>IF(calculations!$U94="","---",IF(calculations!$Y94="","---",ROUND(calculations!$Y94,1)))</f>
        <v>28</v>
      </c>
      <c r="AF31" s="136">
        <f>IF(calculations!$U95="","---",IF(calculations!$Y95="","---",ROUND(calculations!$Y95,1)))</f>
        <v>27</v>
      </c>
      <c r="AG31" s="139">
        <f>IF(calculations!$U96="","---",ROUND(AVERAGE(U31:AF31),1))</f>
        <v>28.9</v>
      </c>
      <c r="AH31" s="50"/>
    </row>
    <row r="32" spans="1:34" ht="21.45" customHeight="1" x14ac:dyDescent="0.3">
      <c r="A32" s="48"/>
      <c r="B32" s="135"/>
      <c r="C32" s="141" t="str">
        <f>IF(calculations!$B84="","---",IF(calculations!$G84="","---",ROUND(calculations!$G84,1)))</f>
        <v>---</v>
      </c>
      <c r="D32" s="141" t="str">
        <f>IF(calculations!$B85="","---",IF(calculations!$G85="","---",ROUND(calculations!$G85,1)))</f>
        <v>---</v>
      </c>
      <c r="E32" s="141" t="str">
        <f>IF(calculations!$B86="","---",IF(calculations!$G86="","---",ROUND(calculations!$G86,1)))</f>
        <v>---</v>
      </c>
      <c r="F32" s="141" t="str">
        <f>IF(calculations!$B87="","---",IF(calculations!$G87="","---",ROUND(calculations!$G87,1)))</f>
        <v>---</v>
      </c>
      <c r="G32" s="141" t="str">
        <f>IF(calculations!$B88="","---",IF(calculations!$G88="","---",ROUND(calculations!$G88,1)))</f>
        <v>---</v>
      </c>
      <c r="H32" s="141" t="str">
        <f>IF(calculations!$B89="","---",IF(calculations!$G89="","---",ROUND(calculations!$G89,1)))</f>
        <v>---</v>
      </c>
      <c r="I32" s="141" t="str">
        <f>IF(calculations!$B90="","---",IF(calculations!$G90="","---",ROUND(calculations!$G90,1)))</f>
        <v>---</v>
      </c>
      <c r="J32" s="141" t="str">
        <f>IF(calculations!$B91="","---",IF(calculations!$G91="","---",ROUND(calculations!$G91,1)))</f>
        <v>---</v>
      </c>
      <c r="K32" s="141" t="str">
        <f>IF(calculations!$B92="","---",IF(calculations!$G92="","---",ROUND(calculations!$G92,1)))</f>
        <v>---</v>
      </c>
      <c r="L32" s="141" t="str">
        <f>IF(calculations!$B93="","---",IF(calculations!$G93="","---",ROUND(calculations!$G93,1)))</f>
        <v>---</v>
      </c>
      <c r="M32" s="141" t="str">
        <f>IF(calculations!$B94="","---",IF(calculations!$G94="","---",ROUND(calculations!$G94,1)))</f>
        <v>---</v>
      </c>
      <c r="N32" s="141" t="str">
        <f>IF(calculations!$B95="","---",IF(calculations!$G95="","---",ROUND(calculations!$G95,1)))</f>
        <v>---</v>
      </c>
      <c r="O32" s="139" t="str">
        <f>IF(calculations!$B96="","---",IF(calculations!$G96="","---",ROUND(calculations!$G96,1)))</f>
        <v>---</v>
      </c>
      <c r="P32" s="218" t="str">
        <f>IF(calculations!G83="","---------------------",calculations!G83)</f>
        <v>---------------------</v>
      </c>
      <c r="Q32" s="219"/>
      <c r="R32" s="219"/>
      <c r="S32" s="220"/>
      <c r="T32" s="140"/>
      <c r="U32" s="141" t="str">
        <f>IF(calculations!$U84="","---",IF(calculations!$Z84="","---",ROUND(calculations!$Z84,1)))</f>
        <v>---</v>
      </c>
      <c r="V32" s="136" t="str">
        <f>IF(calculations!$U85="","---",IF(calculations!$Z85="","---",ROUND(calculations!$Z85,1)))</f>
        <v>---</v>
      </c>
      <c r="W32" s="136" t="str">
        <f>IF(calculations!$U86="","---",IF(calculations!$Z86="","---",ROUND(calculations!$Z86,1)))</f>
        <v>---</v>
      </c>
      <c r="X32" s="136" t="str">
        <f>IF(calculations!$U87="","---",IF(calculations!$Z87="","---",ROUND(calculations!$Z87,1)))</f>
        <v>---</v>
      </c>
      <c r="Y32" s="136" t="str">
        <f>IF(calculations!$U88="","---",IF(calculations!$Z88="","---",ROUND(calculations!$Z88,1)))</f>
        <v>---</v>
      </c>
      <c r="Z32" s="136" t="str">
        <f>IF(calculations!$U89="","---",IF(calculations!$Z89="","---",ROUND(calculations!$Z89,1)))</f>
        <v>---</v>
      </c>
      <c r="AA32" s="136" t="str">
        <f>IF(calculations!$U90="","---",IF(calculations!$Z90="","---",ROUND(calculations!$Z90,1)))</f>
        <v>---</v>
      </c>
      <c r="AB32" s="136" t="str">
        <f>IF(calculations!$U91="","---",IF(calculations!$Z91="","---",ROUND(calculations!$Z91,1)))</f>
        <v>---</v>
      </c>
      <c r="AC32" s="136" t="str">
        <f>IF(calculations!$U92="","---",IF(calculations!$Z92="","---",ROUND(calculations!$Z92,1)))</f>
        <v>---</v>
      </c>
      <c r="AD32" s="136" t="str">
        <f>IF(calculations!$U93="","---",IF(calculations!$Z93="","---",ROUND(calculations!$Z93,1)))</f>
        <v>---</v>
      </c>
      <c r="AE32" s="136" t="str">
        <f>IF(calculations!$U94="","---",IF(calculations!$Z94="","---",ROUND(calculations!$Z94,1)))</f>
        <v>---</v>
      </c>
      <c r="AF32" s="136" t="str">
        <f>IF(calculations!$U95="","---",IF(calculations!$Z95="","---",ROUND(calculations!$Z95,1)))</f>
        <v>---</v>
      </c>
      <c r="AG32" s="139" t="str">
        <f>IF(calculations!$U96="","---",IF(calculations!$Z96="","---",ROUND(calculations!$Z96,1)))</f>
        <v>---</v>
      </c>
      <c r="AH32" s="50"/>
    </row>
    <row r="33" spans="1:34" ht="21.45" customHeight="1" x14ac:dyDescent="0.3">
      <c r="A33" s="48"/>
      <c r="B33" s="135"/>
      <c r="C33" s="141" t="str">
        <f>IF(calculations!$B84="","---",IF(calculations!$H84="","---",ROUND(calculations!$H84,1)))</f>
        <v>---</v>
      </c>
      <c r="D33" s="141" t="str">
        <f>IF(calculations!$B85="","---",IF(calculations!$H85="","---",ROUND(calculations!$H85,1)))</f>
        <v>---</v>
      </c>
      <c r="E33" s="141" t="str">
        <f>IF(calculations!$B86="","---",IF(calculations!$H86="","---",ROUND(calculations!$H86,1)))</f>
        <v>---</v>
      </c>
      <c r="F33" s="141" t="str">
        <f>IF(calculations!$B87="","---",IF(calculations!$H87="","---",ROUND(calculations!$H87,1)))</f>
        <v>---</v>
      </c>
      <c r="G33" s="141" t="str">
        <f>IF(calculations!$B88="","---",IF(calculations!$H88="","---",ROUND(calculations!$H88,1)))</f>
        <v>---</v>
      </c>
      <c r="H33" s="141" t="str">
        <f>IF(calculations!$B89="","---",IF(calculations!$H89="","---",ROUND(calculations!$H89,1)))</f>
        <v>---</v>
      </c>
      <c r="I33" s="141" t="str">
        <f>IF(calculations!$B90="","---",IF(calculations!$H90="","---",ROUND(calculations!$H90,1)))</f>
        <v>---</v>
      </c>
      <c r="J33" s="141" t="str">
        <f>IF(calculations!$B91="","---",IF(calculations!$H91="","---",ROUND(calculations!$H91,1)))</f>
        <v>---</v>
      </c>
      <c r="K33" s="141" t="str">
        <f>IF(calculations!$B92="","---",IF(calculations!$H92="","---",ROUND(calculations!$H92,1)))</f>
        <v>---</v>
      </c>
      <c r="L33" s="141" t="str">
        <f>IF(calculations!$B93="","---",IF(calculations!$H93="","---",ROUND(calculations!$H93,1)))</f>
        <v>---</v>
      </c>
      <c r="M33" s="141" t="str">
        <f>IF(calculations!$B94="","---",IF(calculations!$H94="","---",ROUND(calculations!$H94,1)))</f>
        <v>---</v>
      </c>
      <c r="N33" s="141" t="str">
        <f>IF(calculations!$B95="","---",IF(calculations!$H95="","---",ROUND(calculations!$H95,1)))</f>
        <v>---</v>
      </c>
      <c r="O33" s="139" t="str">
        <f>IF(calculations!$B96="","---",IF(calculations!$H96="","---",ROUND(calculations!$H96,1)))</f>
        <v>---</v>
      </c>
      <c r="P33" s="218" t="str">
        <f>IF(calculations!H83="","---------------------",calculations!H83)</f>
        <v>---------------------</v>
      </c>
      <c r="Q33" s="219"/>
      <c r="R33" s="219"/>
      <c r="S33" s="220"/>
      <c r="T33" s="135"/>
      <c r="U33" s="141" t="str">
        <f>IF(calculations!$U84="","---",IF(calculations!$AA84="","---",ROUND(calculations!$AA84,1)))</f>
        <v>---</v>
      </c>
      <c r="V33" s="136" t="str">
        <f>IF(calculations!$U85="","---",IF(calculations!$AA85="","---",ROUND(calculations!$AA85,1)))</f>
        <v>---</v>
      </c>
      <c r="W33" s="136" t="str">
        <f>IF(calculations!$U86="","---",IF(calculations!$AA86="","---",ROUND(calculations!$AA86,1)))</f>
        <v>---</v>
      </c>
      <c r="X33" s="136" t="str">
        <f>IF(calculations!$U87="","---",IF(calculations!$AA87="","---",ROUND(calculations!$AA87,1)))</f>
        <v>---</v>
      </c>
      <c r="Y33" s="136" t="str">
        <f>IF(calculations!$U88="","---",IF(calculations!$AA88="","---",ROUND(calculations!$AA88,1)))</f>
        <v>---</v>
      </c>
      <c r="Z33" s="136" t="str">
        <f>IF(calculations!$U89="","---",IF(calculations!$AA89="","---",ROUND(calculations!$AA89,1)))</f>
        <v>---</v>
      </c>
      <c r="AA33" s="136" t="str">
        <f>IF(calculations!$U90="","---",IF(calculations!$AA90="","---",ROUND(calculations!$AA90,1)))</f>
        <v>---</v>
      </c>
      <c r="AB33" s="136" t="str">
        <f>IF(calculations!$U91="","---",IF(calculations!$AA91="","---",ROUND(calculations!$AA91,1)))</f>
        <v>---</v>
      </c>
      <c r="AC33" s="136" t="str">
        <f>IF(calculations!$U92="","---",IF(calculations!$AA92="","---",ROUND(calculations!$AA92,1)))</f>
        <v>---</v>
      </c>
      <c r="AD33" s="136" t="str">
        <f>IF(calculations!$U93="","---",IF(calculations!$AA93="","---",ROUND(calculations!$AA93,1)))</f>
        <v>---</v>
      </c>
      <c r="AE33" s="136" t="str">
        <f>IF(calculations!$U94="","---",IF(calculations!$AA94="","---",ROUND(calculations!$AA94,1)))</f>
        <v>---</v>
      </c>
      <c r="AF33" s="136" t="str">
        <f>IF(calculations!$U95="","---",IF(calculations!$AA95="","---",ROUND(calculations!$AA95,1)))</f>
        <v>---</v>
      </c>
      <c r="AG33" s="139" t="str">
        <f>IF(calculations!$U96="","---",IF(calculations!$AA96="","---",ROUND(calculations!$AA96,1)))</f>
        <v>---</v>
      </c>
      <c r="AH33" s="50"/>
    </row>
    <row r="34" spans="1:34" ht="21.45" customHeight="1" thickBot="1" x14ac:dyDescent="0.4">
      <c r="A34" s="48"/>
      <c r="B34" s="142"/>
      <c r="C34" s="149" t="str">
        <f>IF(calculations!$B84="","---",IF(calculations!$I84="","---",ROUND(calculations!$I84,1)))</f>
        <v>---</v>
      </c>
      <c r="D34" s="149" t="str">
        <f>IF(calculations!$B85="","---",IF(calculations!$I85="","---",ROUND(calculations!$I85,1)))</f>
        <v>---</v>
      </c>
      <c r="E34" s="149" t="str">
        <f>IF(calculations!$B86="","---",IF(calculations!$I86="","---",ROUND(calculations!$I86,1)))</f>
        <v>---</v>
      </c>
      <c r="F34" s="149" t="str">
        <f>IF(calculations!$B87="","---",IF(calculations!$I87="","---",ROUND(calculations!$I87,1)))</f>
        <v>---</v>
      </c>
      <c r="G34" s="149" t="str">
        <f>IF(calculations!$B88="","---",IF(calculations!$I88="","---",ROUND(calculations!$I88,1)))</f>
        <v>---</v>
      </c>
      <c r="H34" s="149" t="str">
        <f>IF(calculations!$B89="","---",IF(calculations!$I89="","---",ROUND(calculations!$I89,1)))</f>
        <v>---</v>
      </c>
      <c r="I34" s="149" t="str">
        <f>IF(calculations!$B90="","---",IF(calculations!$I90="","---",ROUND(calculations!$I90,1)))</f>
        <v>---</v>
      </c>
      <c r="J34" s="149" t="str">
        <f>IF(calculations!$B91="","---",IF(calculations!$I91="","---",ROUND(calculations!$I91,1)))</f>
        <v>---</v>
      </c>
      <c r="K34" s="149" t="str">
        <f>IF(calculations!$B92="","---",IF(calculations!$I92="","---",ROUND(calculations!$I92,1)))</f>
        <v>---</v>
      </c>
      <c r="L34" s="149" t="str">
        <f>IF(calculations!$B93="","---",IF(calculations!$I93="","---",ROUND(calculations!$I93,1)))</f>
        <v>---</v>
      </c>
      <c r="M34" s="149" t="str">
        <f>IF(calculations!$B94="","---",IF(calculations!$I94="","---",ROUND(calculations!$I94,1)))</f>
        <v>---</v>
      </c>
      <c r="N34" s="149" t="str">
        <f>IF(calculations!$B95="","---",IF(calculations!$I95="","---",ROUND(calculations!$I95,1)))</f>
        <v>---</v>
      </c>
      <c r="O34" s="150" t="str">
        <f>IF(calculations!$B96="","---",IF(calculations!$I96="","---",ROUND(calculations!$I96,1)))</f>
        <v>---</v>
      </c>
      <c r="P34" s="227" t="str">
        <f>IF(calculations!I83="","---------------------",calculations!I83)</f>
        <v>---------------------</v>
      </c>
      <c r="Q34" s="228"/>
      <c r="R34" s="228"/>
      <c r="S34" s="229"/>
      <c r="T34" s="142"/>
      <c r="U34" s="143" t="str">
        <f>IF(calculations!$U84="","---",IF(calculations!$AB84="","---",ROUND(calculations!$AB84,1)))</f>
        <v>---</v>
      </c>
      <c r="V34" s="151" t="str">
        <f>IF(calculations!$U86="","---",IF(calculations!$AB86="","---",ROUND(calculations!$AB86,1)))</f>
        <v>---</v>
      </c>
      <c r="W34" s="151" t="str">
        <f>IF(calculations!$U87="","---",IF(calculations!$AB87="","---",ROUND(calculations!$AB87,1)))</f>
        <v>---</v>
      </c>
      <c r="X34" s="151" t="str">
        <f>IF(calculations!$U88="","---",IF(calculations!$AB88="","---",ROUND(calculations!$AB88,1)))</f>
        <v>---</v>
      </c>
      <c r="Y34" s="151" t="str">
        <f>IF(calculations!$U89="","---",IF(calculations!$AB89="","---",ROUND(calculations!$AB89,1)))</f>
        <v>---</v>
      </c>
      <c r="Z34" s="151" t="str">
        <f>IF(calculations!$U90="","---",IF(calculations!$AB90="","---",ROUND(calculations!$AB90,1)))</f>
        <v>---</v>
      </c>
      <c r="AA34" s="151" t="str">
        <f>IF(calculations!$U91="","---",IF(calculations!$AB91="","---",ROUND(calculations!$AB91,1)))</f>
        <v>---</v>
      </c>
      <c r="AB34" s="151" t="str">
        <f>IF(calculations!$U92="","---",IF(calculations!$AB92="","---",ROUND(calculations!$AB92,1)))</f>
        <v>---</v>
      </c>
      <c r="AC34" s="151" t="str">
        <f>IF(calculations!$U93="","---",IF(calculations!$AB93="","---",ROUND(calculations!$AB93,1)))</f>
        <v>---</v>
      </c>
      <c r="AD34" s="151" t="str">
        <f>IF(calculations!$U94="","---",IF(calculations!$AB94="","---",ROUND(calculations!$AB94,1)))</f>
        <v>---</v>
      </c>
      <c r="AE34" s="151" t="str">
        <f>IF(calculations!$U95="","---",IF(calculations!$AB95="","---",ROUND(calculations!$AB95,1)))</f>
        <v>---</v>
      </c>
      <c r="AF34" s="152" t="str">
        <f>IF(calculations!$U96="","---",IF(calculations!$AB96="","---",ROUND(calculations!$AB96,1)))</f>
        <v>---</v>
      </c>
      <c r="AG34" s="144" t="str">
        <f>IF(calculations!$U96="","---",IF(calculations!$AB96="","---",ROUND(calculations!$AB96,1)))</f>
        <v>---</v>
      </c>
      <c r="AH34" s="50"/>
    </row>
    <row r="35" spans="1:34" ht="14.7" customHeight="1" x14ac:dyDescent="0.3">
      <c r="A35" s="221" t="s">
        <v>26</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3"/>
    </row>
    <row r="36" spans="1:34" ht="14.7" customHeight="1" x14ac:dyDescent="0.3">
      <c r="A36" s="221"/>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3"/>
    </row>
    <row r="37" spans="1:34" ht="14.7" customHeight="1" x14ac:dyDescent="0.3">
      <c r="A37" s="221"/>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3"/>
    </row>
    <row r="38" spans="1:34" ht="14.7" customHeight="1" thickBot="1" x14ac:dyDescent="0.35">
      <c r="A38" s="224"/>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6"/>
    </row>
    <row r="141" spans="3:19" ht="14.7" customHeight="1" x14ac:dyDescent="0.3">
      <c r="P141" s="21"/>
      <c r="Q141" s="21"/>
      <c r="R141" s="8"/>
      <c r="S141" s="8"/>
    </row>
    <row r="142" spans="3:19" ht="14.7" customHeight="1" x14ac:dyDescent="0.3">
      <c r="C142" s="9"/>
      <c r="P142" s="21"/>
      <c r="Q142" s="21"/>
      <c r="R142" s="8"/>
      <c r="S142" s="8"/>
    </row>
    <row r="143" spans="3:19" ht="14.7" customHeight="1" x14ac:dyDescent="0.3">
      <c r="C143" s="9"/>
      <c r="P143" s="21"/>
      <c r="Q143" s="21"/>
      <c r="R143" s="8"/>
      <c r="S143" s="8"/>
    </row>
    <row r="144" spans="3:19" ht="14.7" customHeight="1" x14ac:dyDescent="0.3">
      <c r="C144" s="9"/>
      <c r="P144" s="21"/>
      <c r="Q144" s="21"/>
      <c r="R144" s="8"/>
      <c r="S144" s="8"/>
    </row>
    <row r="145" spans="3:19" ht="14.7" customHeight="1" x14ac:dyDescent="0.3">
      <c r="C145" s="9"/>
      <c r="P145" s="21"/>
      <c r="Q145" s="21"/>
      <c r="R145" s="8"/>
      <c r="S145" s="8"/>
    </row>
    <row r="146" spans="3:19" ht="14.7" customHeight="1" x14ac:dyDescent="0.3">
      <c r="C146" s="9"/>
      <c r="P146" s="21"/>
      <c r="Q146" s="21"/>
      <c r="R146" s="8"/>
      <c r="S146" s="8"/>
    </row>
    <row r="147" spans="3:19" ht="14.7" customHeight="1" x14ac:dyDescent="0.3">
      <c r="C147" s="9"/>
    </row>
    <row r="155" spans="3:19" ht="14.7" customHeight="1" x14ac:dyDescent="0.3">
      <c r="C155" s="11"/>
    </row>
    <row r="156" spans="3:19" ht="14.7" customHeight="1" x14ac:dyDescent="0.3">
      <c r="C156" s="11"/>
    </row>
    <row r="157" spans="3:19" ht="14.7" customHeight="1" x14ac:dyDescent="0.3">
      <c r="C157" s="11"/>
    </row>
    <row r="162" spans="5:24" ht="14.7" customHeight="1" x14ac:dyDescent="0.3">
      <c r="E162" s="12"/>
      <c r="F162" s="12"/>
      <c r="G162" s="8"/>
      <c r="H162" s="12"/>
      <c r="I162" s="12"/>
      <c r="J162" s="8"/>
      <c r="K162" s="12"/>
      <c r="L162" s="8"/>
      <c r="M162" s="21"/>
      <c r="N162" s="8"/>
      <c r="O162" s="21"/>
    </row>
    <row r="163" spans="5:24" ht="14.7" customHeight="1" x14ac:dyDescent="0.3">
      <c r="E163" s="12"/>
      <c r="F163" s="12"/>
      <c r="G163" s="8"/>
      <c r="H163" s="12"/>
      <c r="I163" s="12"/>
      <c r="J163" s="8"/>
      <c r="K163" s="12"/>
      <c r="L163" s="8"/>
      <c r="M163" s="21"/>
      <c r="N163" s="8"/>
      <c r="O163" s="21"/>
      <c r="T163" s="8"/>
      <c r="U163" s="8"/>
      <c r="V163" s="8"/>
      <c r="W163" s="8"/>
      <c r="X163" s="21"/>
    </row>
    <row r="164" spans="5:24" ht="14.7" customHeight="1" x14ac:dyDescent="0.3">
      <c r="E164" s="12"/>
      <c r="F164" s="12"/>
      <c r="G164" s="8"/>
      <c r="H164" s="12"/>
      <c r="I164" s="12"/>
      <c r="J164" s="8"/>
      <c r="K164" s="12"/>
      <c r="L164" s="8"/>
      <c r="M164" s="21"/>
      <c r="N164" s="8"/>
      <c r="O164" s="21"/>
      <c r="T164" s="8"/>
      <c r="U164" s="8"/>
      <c r="V164" s="8"/>
      <c r="W164" s="8"/>
      <c r="X164" s="21"/>
    </row>
    <row r="165" spans="5:24" ht="14.7" customHeight="1" x14ac:dyDescent="0.3">
      <c r="E165" s="12"/>
      <c r="F165" s="12"/>
      <c r="G165" s="8"/>
      <c r="H165" s="12"/>
      <c r="I165" s="12"/>
      <c r="J165" s="8"/>
      <c r="K165" s="12"/>
      <c r="L165" s="8"/>
      <c r="M165" s="21"/>
      <c r="N165" s="8"/>
      <c r="O165" s="21"/>
      <c r="T165" s="8"/>
      <c r="U165" s="8"/>
      <c r="V165" s="8"/>
      <c r="W165" s="8"/>
      <c r="X165" s="21"/>
    </row>
    <row r="166" spans="5:24" ht="14.7" customHeight="1" x14ac:dyDescent="0.3">
      <c r="E166" s="12"/>
      <c r="F166" s="12"/>
      <c r="G166" s="8"/>
      <c r="H166" s="12"/>
      <c r="I166" s="12"/>
      <c r="J166" s="8"/>
      <c r="K166" s="12"/>
      <c r="L166" s="8"/>
      <c r="M166" s="21"/>
      <c r="N166" s="8"/>
      <c r="O166" s="21"/>
      <c r="T166" s="8"/>
      <c r="U166" s="8"/>
      <c r="V166" s="8"/>
      <c r="W166" s="8"/>
      <c r="X166" s="21"/>
    </row>
    <row r="167" spans="5:24" ht="14.7" customHeight="1" x14ac:dyDescent="0.3">
      <c r="E167" s="12"/>
      <c r="F167" s="12"/>
      <c r="G167" s="8"/>
      <c r="H167" s="12"/>
      <c r="I167" s="12"/>
      <c r="J167" s="8"/>
      <c r="K167" s="12"/>
      <c r="L167" s="8"/>
      <c r="M167" s="21"/>
      <c r="N167" s="8"/>
      <c r="O167" s="21"/>
      <c r="T167" s="8"/>
      <c r="U167" s="8"/>
      <c r="V167" s="8"/>
      <c r="W167" s="8"/>
      <c r="X167" s="21"/>
    </row>
    <row r="168" spans="5:24" ht="14.7" customHeight="1" x14ac:dyDescent="0.3">
      <c r="T168" s="8"/>
      <c r="U168" s="8"/>
      <c r="V168" s="8"/>
      <c r="W168" s="8"/>
      <c r="X168" s="21"/>
    </row>
    <row r="172" spans="5:24" ht="14.7" customHeight="1" x14ac:dyDescent="0.3">
      <c r="G172" s="8"/>
      <c r="J172" s="8"/>
      <c r="L172" s="8"/>
    </row>
    <row r="173" spans="5:24" ht="14.7" customHeight="1" x14ac:dyDescent="0.3">
      <c r="G173" s="8"/>
      <c r="J173" s="8"/>
      <c r="L173" s="8"/>
    </row>
    <row r="174" spans="5:24" ht="14.7" customHeight="1" x14ac:dyDescent="0.3">
      <c r="G174" s="8"/>
      <c r="J174" s="8"/>
      <c r="L174" s="8"/>
    </row>
    <row r="175" spans="5:24" ht="14.7" customHeight="1" x14ac:dyDescent="0.3">
      <c r="G175" s="15"/>
      <c r="J175" s="15"/>
      <c r="L175" s="15"/>
    </row>
    <row r="176" spans="5:24" ht="14.7" customHeight="1" x14ac:dyDescent="0.3">
      <c r="G176" s="15"/>
      <c r="J176" s="15"/>
      <c r="L176" s="15"/>
    </row>
    <row r="177" spans="3:19" ht="14.7" customHeight="1" x14ac:dyDescent="0.3">
      <c r="G177" s="15"/>
      <c r="J177" s="15"/>
      <c r="L177" s="15"/>
    </row>
    <row r="178" spans="3:19" ht="14.7" customHeight="1" x14ac:dyDescent="0.3">
      <c r="G178" s="8"/>
      <c r="J178" s="8"/>
      <c r="L178" s="8"/>
    </row>
    <row r="182" spans="3:19" ht="14.7" customHeight="1" x14ac:dyDescent="0.3">
      <c r="G182" s="19"/>
      <c r="I182" s="13"/>
      <c r="K182" s="13"/>
      <c r="M182" s="13"/>
    </row>
    <row r="183" spans="3:19" ht="14.7" customHeight="1" x14ac:dyDescent="0.3">
      <c r="I183" s="10"/>
      <c r="K183" s="10"/>
      <c r="M183" s="10"/>
      <c r="P183" s="23"/>
      <c r="Q183" s="23"/>
      <c r="R183" s="23"/>
      <c r="S183" s="25"/>
    </row>
    <row r="184" spans="3:19" ht="14.7" customHeight="1" x14ac:dyDescent="0.3">
      <c r="C184" s="11"/>
      <c r="D184" s="14"/>
      <c r="E184" s="13"/>
      <c r="F184" s="11"/>
      <c r="G184" s="14"/>
      <c r="H184" s="13"/>
      <c r="I184" s="14"/>
      <c r="J184" s="13"/>
      <c r="K184" s="14"/>
      <c r="L184" s="13"/>
      <c r="M184" s="14"/>
      <c r="N184" s="13"/>
      <c r="P184" s="21"/>
      <c r="Q184" s="21"/>
      <c r="R184" s="15"/>
      <c r="S184" s="15"/>
    </row>
    <row r="185" spans="3:19" ht="14.7" customHeight="1" x14ac:dyDescent="0.3">
      <c r="C185" s="11"/>
      <c r="D185" s="14"/>
      <c r="E185" s="13"/>
      <c r="F185" s="11"/>
      <c r="G185" s="14"/>
      <c r="H185" s="13"/>
      <c r="I185" s="14"/>
      <c r="J185" s="13"/>
      <c r="K185" s="14"/>
      <c r="L185" s="13"/>
      <c r="M185" s="14"/>
      <c r="N185" s="13"/>
      <c r="P185" s="21"/>
      <c r="Q185" s="21"/>
      <c r="R185" s="15"/>
      <c r="S185" s="15"/>
    </row>
    <row r="186" spans="3:19" ht="14.7" customHeight="1" x14ac:dyDescent="0.3">
      <c r="C186" s="11"/>
      <c r="D186" s="14"/>
      <c r="E186" s="13"/>
      <c r="F186" s="11"/>
      <c r="G186" s="14"/>
      <c r="H186" s="13"/>
      <c r="I186" s="14"/>
      <c r="J186" s="13"/>
      <c r="K186" s="14"/>
      <c r="L186" s="13"/>
      <c r="M186" s="14"/>
      <c r="N186" s="13"/>
      <c r="P186" s="21"/>
      <c r="Q186" s="21"/>
      <c r="R186" s="15"/>
      <c r="S186" s="15"/>
    </row>
    <row r="187" spans="3:19" ht="14.7" customHeight="1" x14ac:dyDescent="0.3">
      <c r="D187" s="14"/>
      <c r="G187" s="16"/>
      <c r="I187" s="14"/>
      <c r="K187" s="14"/>
      <c r="M187" s="14"/>
      <c r="P187" s="21"/>
      <c r="Q187" s="21"/>
      <c r="R187" s="15"/>
      <c r="S187" s="15"/>
    </row>
    <row r="188" spans="3:19" ht="14.7" customHeight="1" x14ac:dyDescent="0.3">
      <c r="D188" s="16"/>
      <c r="P188" s="21"/>
      <c r="Q188" s="21"/>
      <c r="R188" s="15"/>
      <c r="S188" s="15"/>
    </row>
    <row r="189" spans="3:19" ht="14.7" customHeight="1" x14ac:dyDescent="0.3">
      <c r="P189" s="21"/>
      <c r="Q189" s="21"/>
      <c r="R189" s="15"/>
      <c r="S189" s="15"/>
    </row>
    <row r="190" spans="3:19" ht="14.7" customHeight="1" x14ac:dyDescent="0.3">
      <c r="P190" s="21"/>
      <c r="Q190" s="21"/>
      <c r="R190" s="15"/>
      <c r="S190" s="15"/>
    </row>
    <row r="191" spans="3:19" ht="14.7" customHeight="1" x14ac:dyDescent="0.3">
      <c r="F191" s="11"/>
      <c r="G191" s="14"/>
      <c r="H191" s="13"/>
      <c r="I191" s="14"/>
      <c r="J191" s="13"/>
      <c r="K191" s="14"/>
      <c r="L191" s="13"/>
      <c r="M191" s="14"/>
      <c r="N191" s="13"/>
      <c r="P191" s="21"/>
      <c r="Q191" s="21"/>
      <c r="R191" s="15"/>
      <c r="S191" s="15"/>
    </row>
    <row r="192" spans="3:19" ht="14.7" customHeight="1" x14ac:dyDescent="0.3">
      <c r="C192" s="11"/>
      <c r="D192" s="14"/>
      <c r="E192" s="13"/>
      <c r="F192" s="11"/>
      <c r="G192" s="14"/>
      <c r="H192" s="13"/>
      <c r="I192" s="14"/>
      <c r="J192" s="13"/>
      <c r="K192" s="14"/>
      <c r="L192" s="13"/>
      <c r="M192" s="14"/>
      <c r="N192" s="13"/>
      <c r="P192" s="21"/>
      <c r="Q192" s="21"/>
      <c r="R192" s="15"/>
      <c r="S192" s="15"/>
    </row>
    <row r="193" spans="2:26" ht="14.7" customHeight="1" x14ac:dyDescent="0.3">
      <c r="C193" s="11"/>
      <c r="D193" s="14"/>
      <c r="E193" s="13"/>
      <c r="F193" s="11"/>
      <c r="G193" s="14"/>
      <c r="H193" s="13"/>
      <c r="I193" s="14"/>
      <c r="J193" s="13"/>
      <c r="K193" s="14"/>
      <c r="L193" s="13"/>
      <c r="M193" s="14"/>
      <c r="N193" s="13"/>
      <c r="P193" s="21"/>
      <c r="Q193" s="21"/>
      <c r="R193" s="15"/>
      <c r="S193" s="15"/>
    </row>
    <row r="194" spans="2:26" ht="14.7" customHeight="1" x14ac:dyDescent="0.3">
      <c r="C194" s="11"/>
      <c r="D194" s="14"/>
      <c r="E194" s="13"/>
      <c r="G194" s="14"/>
      <c r="I194" s="14"/>
      <c r="K194" s="14"/>
      <c r="M194" s="14"/>
      <c r="P194" s="21"/>
      <c r="Q194" s="21"/>
      <c r="R194" s="15"/>
      <c r="S194" s="15"/>
    </row>
    <row r="195" spans="2:26" ht="14.7" customHeight="1" x14ac:dyDescent="0.3">
      <c r="C195" s="6"/>
      <c r="D195" s="14"/>
      <c r="P195" s="21"/>
      <c r="Q195" s="21"/>
      <c r="R195" s="15"/>
      <c r="S195" s="15"/>
    </row>
    <row r="196" spans="2:26" ht="14.7" customHeight="1" x14ac:dyDescent="0.3">
      <c r="C196" s="6"/>
      <c r="D196" s="16"/>
      <c r="P196" s="21"/>
      <c r="Q196" s="21"/>
      <c r="R196" s="15"/>
      <c r="S196" s="15"/>
    </row>
    <row r="197" spans="2:26" ht="14.7" customHeight="1" x14ac:dyDescent="0.3">
      <c r="C197" s="6"/>
      <c r="P197" s="21"/>
      <c r="Q197" s="21"/>
      <c r="R197" s="15"/>
      <c r="S197" s="15"/>
    </row>
    <row r="198" spans="2:26" ht="14.7" customHeight="1" x14ac:dyDescent="0.3">
      <c r="C198" s="6"/>
      <c r="P198" s="21"/>
      <c r="Q198" s="21"/>
      <c r="R198" s="15"/>
      <c r="S198" s="15"/>
    </row>
    <row r="199" spans="2:26" ht="14.7" customHeight="1" x14ac:dyDescent="0.3">
      <c r="C199" s="6"/>
      <c r="P199" s="21"/>
      <c r="Q199" s="21"/>
      <c r="R199" s="15"/>
      <c r="S199" s="15"/>
    </row>
    <row r="200" spans="2:26" ht="14.7" customHeight="1" x14ac:dyDescent="0.3">
      <c r="P200" s="21"/>
      <c r="Q200" s="21"/>
      <c r="R200" s="15"/>
      <c r="S200" s="15"/>
    </row>
    <row r="201" spans="2:26" ht="14.7" customHeight="1" x14ac:dyDescent="0.3">
      <c r="P201" s="21"/>
      <c r="Q201" s="21"/>
      <c r="R201" s="15"/>
      <c r="S201" s="15"/>
    </row>
    <row r="202" spans="2:26" ht="14.7" customHeight="1" x14ac:dyDescent="0.3">
      <c r="P202" s="21"/>
      <c r="Q202" s="21"/>
      <c r="R202" s="15"/>
      <c r="S202" s="15"/>
    </row>
    <row r="203" spans="2:26" ht="14.7" customHeight="1" x14ac:dyDescent="0.3">
      <c r="B203" s="7"/>
      <c r="F203" s="6"/>
      <c r="G203" s="6"/>
      <c r="H203" s="6"/>
      <c r="I203" s="6"/>
      <c r="J203" s="6"/>
      <c r="K203" s="6"/>
      <c r="L203" s="6"/>
      <c r="M203" s="6"/>
      <c r="N203" s="6"/>
      <c r="O203" s="6"/>
      <c r="P203" s="21"/>
      <c r="Q203" s="21"/>
      <c r="R203" s="15"/>
      <c r="S203" s="15"/>
    </row>
    <row r="204" spans="2:26" ht="14.7" customHeight="1" x14ac:dyDescent="0.3">
      <c r="B204" s="10"/>
      <c r="D204" s="20"/>
      <c r="E204" s="23"/>
      <c r="F204" s="23"/>
      <c r="G204" s="23"/>
      <c r="H204" s="23"/>
      <c r="I204" s="23"/>
      <c r="J204" s="23"/>
      <c r="K204" s="23"/>
      <c r="L204" s="23"/>
      <c r="M204" s="18"/>
      <c r="N204" s="18"/>
      <c r="O204" s="23"/>
      <c r="P204" s="21"/>
      <c r="Q204" s="21"/>
      <c r="R204" s="15"/>
      <c r="S204" s="15"/>
    </row>
    <row r="205" spans="2:26" ht="14.7" customHeight="1" x14ac:dyDescent="0.3">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x14ac:dyDescent="0.3">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x14ac:dyDescent="0.3">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x14ac:dyDescent="0.3">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x14ac:dyDescent="0.3">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x14ac:dyDescent="0.3">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x14ac:dyDescent="0.3">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x14ac:dyDescent="0.3">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x14ac:dyDescent="0.3">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x14ac:dyDescent="0.3">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x14ac:dyDescent="0.3">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x14ac:dyDescent="0.3">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x14ac:dyDescent="0.3">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x14ac:dyDescent="0.3">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x14ac:dyDescent="0.3">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x14ac:dyDescent="0.3">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x14ac:dyDescent="0.3">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x14ac:dyDescent="0.3">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x14ac:dyDescent="0.3">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x14ac:dyDescent="0.3">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x14ac:dyDescent="0.3">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x14ac:dyDescent="0.3">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x14ac:dyDescent="0.3">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x14ac:dyDescent="0.3">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x14ac:dyDescent="0.3">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x14ac:dyDescent="0.3">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x14ac:dyDescent="0.3">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x14ac:dyDescent="0.3">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x14ac:dyDescent="0.3">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x14ac:dyDescent="0.3">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x14ac:dyDescent="0.3">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x14ac:dyDescent="0.3">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x14ac:dyDescent="0.3">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x14ac:dyDescent="0.3">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x14ac:dyDescent="0.3">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x14ac:dyDescent="0.3">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x14ac:dyDescent="0.3">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x14ac:dyDescent="0.3">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x14ac:dyDescent="0.3">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x14ac:dyDescent="0.3">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x14ac:dyDescent="0.3">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x14ac:dyDescent="0.3">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x14ac:dyDescent="0.3">
      <c r="P247" s="8"/>
      <c r="Q247" s="8"/>
      <c r="T247" s="15"/>
      <c r="U247" s="15"/>
      <c r="V247" s="15"/>
      <c r="W247" s="15"/>
      <c r="X247" s="21"/>
    </row>
    <row r="248" spans="2:24" ht="14.7" customHeight="1" x14ac:dyDescent="0.3">
      <c r="D248" s="11"/>
      <c r="P248" s="8"/>
      <c r="Q248" s="8"/>
    </row>
    <row r="249" spans="2:24" ht="14.7" customHeight="1" x14ac:dyDescent="0.3">
      <c r="D249" s="11"/>
      <c r="P249" s="8"/>
      <c r="Q249" s="8"/>
    </row>
    <row r="250" spans="2:24" ht="14.7" customHeight="1" x14ac:dyDescent="0.3">
      <c r="P250" s="8"/>
      <c r="Q250" s="8"/>
    </row>
    <row r="251" spans="2:24" ht="14.7" customHeight="1" x14ac:dyDescent="0.3">
      <c r="P251" s="8"/>
      <c r="Q251" s="8"/>
    </row>
    <row r="252" spans="2:24" ht="14.7" customHeight="1" x14ac:dyDescent="0.3">
      <c r="P252" s="8"/>
      <c r="Q252" s="8"/>
    </row>
    <row r="253" spans="2:24" ht="14.7" customHeight="1" x14ac:dyDescent="0.3">
      <c r="P253" s="8"/>
      <c r="Q253" s="8"/>
    </row>
    <row r="254" spans="2:24" ht="14.7" customHeight="1" x14ac:dyDescent="0.3">
      <c r="P254" s="8"/>
      <c r="Q254" s="8"/>
    </row>
    <row r="255" spans="2:24" ht="14.7" customHeight="1" x14ac:dyDescent="0.3">
      <c r="P255" s="8"/>
      <c r="Q255" s="8"/>
    </row>
    <row r="256" spans="2:24" ht="14.7" customHeight="1" x14ac:dyDescent="0.3">
      <c r="D256" s="11"/>
      <c r="P256" s="8"/>
      <c r="Q256" s="8"/>
    </row>
    <row r="257" spans="4:17" ht="14.7" customHeight="1" x14ac:dyDescent="0.3">
      <c r="D257" s="11"/>
      <c r="P257" s="8"/>
      <c r="Q257" s="8"/>
    </row>
    <row r="258" spans="4:17" ht="14.7" customHeight="1" x14ac:dyDescent="0.3">
      <c r="P258" s="8"/>
      <c r="Q258" s="8"/>
    </row>
    <row r="259" spans="4:17" ht="14.7" customHeight="1" x14ac:dyDescent="0.3">
      <c r="P259" s="8"/>
      <c r="Q259" s="8"/>
    </row>
    <row r="260" spans="4:17" ht="14.7" customHeight="1" x14ac:dyDescent="0.3">
      <c r="P260" s="8"/>
      <c r="Q260" s="8"/>
    </row>
    <row r="261" spans="4:17" ht="14.7" customHeight="1" x14ac:dyDescent="0.3">
      <c r="P261" s="8"/>
      <c r="Q261" s="8"/>
    </row>
    <row r="262" spans="4:17" ht="14.7" customHeight="1" x14ac:dyDescent="0.3">
      <c r="P262" s="8"/>
      <c r="Q262" s="8"/>
    </row>
    <row r="263" spans="4:17" ht="14.7" customHeight="1" x14ac:dyDescent="0.3">
      <c r="P263" s="8"/>
      <c r="Q263" s="8"/>
    </row>
    <row r="264" spans="4:17" ht="14.7" customHeight="1" x14ac:dyDescent="0.3">
      <c r="D264" s="11"/>
      <c r="P264" s="8"/>
      <c r="Q264" s="8"/>
    </row>
    <row r="265" spans="4:17" ht="14.7" customHeight="1" x14ac:dyDescent="0.3">
      <c r="D265" s="11"/>
      <c r="P265" s="8"/>
      <c r="Q265" s="8"/>
    </row>
    <row r="266" spans="4:17" ht="14.7" customHeight="1" x14ac:dyDescent="0.3">
      <c r="P266" s="8"/>
      <c r="Q266" s="8"/>
    </row>
    <row r="267" spans="4:17" ht="14.7" customHeight="1" x14ac:dyDescent="0.3">
      <c r="P267" s="8"/>
      <c r="Q267" s="8"/>
    </row>
    <row r="268" spans="4:17" ht="14.7" customHeight="1" x14ac:dyDescent="0.3">
      <c r="P268" s="8"/>
      <c r="Q268" s="8"/>
    </row>
    <row r="269" spans="4:17" ht="14.7" customHeight="1" x14ac:dyDescent="0.3">
      <c r="P269" s="8"/>
      <c r="Q269" s="8"/>
    </row>
    <row r="270" spans="4:17" ht="14.7" customHeight="1" x14ac:dyDescent="0.3">
      <c r="P270" s="8"/>
      <c r="Q270" s="8"/>
    </row>
    <row r="271" spans="4:17" ht="14.7" customHeight="1" x14ac:dyDescent="0.3">
      <c r="P271" s="8"/>
      <c r="Q271" s="8"/>
    </row>
    <row r="272" spans="4:17" ht="14.7" customHeight="1" x14ac:dyDescent="0.3">
      <c r="D272" s="11"/>
      <c r="P272" s="8"/>
      <c r="Q272" s="8"/>
    </row>
    <row r="273" spans="4:19" ht="14.7" customHeight="1" x14ac:dyDescent="0.3">
      <c r="D273" s="11"/>
      <c r="P273" s="8"/>
      <c r="Q273" s="8"/>
    </row>
    <row r="274" spans="4:19" ht="14.7" customHeight="1" x14ac:dyDescent="0.3">
      <c r="P274" s="8"/>
      <c r="Q274" s="8"/>
    </row>
    <row r="275" spans="4:19" ht="14.7" customHeight="1" x14ac:dyDescent="0.3">
      <c r="P275" s="8"/>
      <c r="Q275" s="8"/>
    </row>
    <row r="276" spans="4:19" ht="14.7" customHeight="1" x14ac:dyDescent="0.3">
      <c r="P276" s="8"/>
      <c r="Q276" s="8"/>
    </row>
    <row r="277" spans="4:19" ht="14.7" customHeight="1" x14ac:dyDescent="0.3">
      <c r="P277" s="8"/>
      <c r="Q277" s="8"/>
    </row>
    <row r="278" spans="4:19" ht="14.7" customHeight="1" x14ac:dyDescent="0.3">
      <c r="P278" s="8"/>
      <c r="Q278" s="8"/>
    </row>
    <row r="279" spans="4:19" ht="14.7" customHeight="1" x14ac:dyDescent="0.3">
      <c r="P279" s="8"/>
      <c r="Q279" s="8"/>
    </row>
    <row r="280" spans="4:19" ht="14.7" customHeight="1" x14ac:dyDescent="0.3">
      <c r="D280" s="11"/>
      <c r="P280" s="8"/>
      <c r="Q280" s="8"/>
    </row>
    <row r="281" spans="4:19" ht="14.7" customHeight="1" x14ac:dyDescent="0.3">
      <c r="D281" s="11"/>
      <c r="P281" s="8"/>
      <c r="Q281" s="8"/>
    </row>
    <row r="282" spans="4:19" ht="14.7" customHeight="1" x14ac:dyDescent="0.3">
      <c r="P282" s="18"/>
      <c r="Q282" s="22"/>
      <c r="R282" s="22"/>
      <c r="S282" s="22"/>
    </row>
    <row r="288" spans="4:19" ht="14.7" customHeight="1" x14ac:dyDescent="0.3">
      <c r="D288" s="11"/>
    </row>
    <row r="289" spans="2:23" ht="14.7" customHeight="1" x14ac:dyDescent="0.3">
      <c r="D289" s="11"/>
    </row>
    <row r="296" spans="2:23" ht="14.7" customHeight="1" x14ac:dyDescent="0.3">
      <c r="D296" s="11"/>
    </row>
    <row r="297" spans="2:23" ht="14.7" customHeight="1" x14ac:dyDescent="0.3">
      <c r="D297" s="11"/>
    </row>
    <row r="303" spans="2:23" ht="14.7" customHeight="1" x14ac:dyDescent="0.3">
      <c r="B303" s="10"/>
      <c r="D303" s="20"/>
      <c r="E303" s="20"/>
      <c r="F303" s="18"/>
      <c r="G303" s="18"/>
      <c r="H303" s="18"/>
      <c r="I303" s="18"/>
      <c r="J303" s="18"/>
      <c r="K303" s="18"/>
      <c r="L303" s="18"/>
      <c r="M303" s="18"/>
      <c r="N303" s="18"/>
      <c r="O303" s="18"/>
    </row>
    <row r="304" spans="2:23" ht="14.7" customHeight="1" x14ac:dyDescent="0.3">
      <c r="D304" s="11"/>
      <c r="T304" s="22"/>
      <c r="U304" s="22"/>
      <c r="V304" s="22"/>
      <c r="W304" s="22"/>
    </row>
    <row r="305" spans="4:4" ht="14.7" customHeight="1" x14ac:dyDescent="0.3">
      <c r="D305" s="11"/>
    </row>
    <row r="306" spans="4:4" ht="14.7" customHeight="1" x14ac:dyDescent="0.3">
      <c r="D306" s="11"/>
    </row>
    <row r="307" spans="4:4" ht="14.7" customHeight="1" x14ac:dyDescent="0.3">
      <c r="D307" s="11"/>
    </row>
    <row r="308" spans="4:4" ht="14.7" customHeight="1" x14ac:dyDescent="0.3">
      <c r="D308" s="11"/>
    </row>
    <row r="309" spans="4:4" ht="14.7" customHeight="1" x14ac:dyDescent="0.3">
      <c r="D309" s="11"/>
    </row>
    <row r="310" spans="4:4" ht="14.7" customHeight="1" x14ac:dyDescent="0.3">
      <c r="D310" s="11"/>
    </row>
    <row r="311" spans="4:4" ht="14.7" customHeight="1" x14ac:dyDescent="0.3">
      <c r="D311" s="11"/>
    </row>
    <row r="312" spans="4:4" ht="14.7" customHeight="1" x14ac:dyDescent="0.3">
      <c r="D312" s="11"/>
    </row>
    <row r="313" spans="4:4" ht="14.7" customHeight="1" x14ac:dyDescent="0.3">
      <c r="D313" s="11"/>
    </row>
    <row r="314" spans="4:4" ht="14.7" customHeight="1" x14ac:dyDescent="0.3">
      <c r="D314" s="11"/>
    </row>
    <row r="315" spans="4:4" ht="14.7" customHeight="1" x14ac:dyDescent="0.3">
      <c r="D315" s="11"/>
    </row>
    <row r="316" spans="4:4" ht="14.7" customHeight="1" x14ac:dyDescent="0.3">
      <c r="D316" s="11"/>
    </row>
    <row r="317" spans="4:4" ht="14.7" customHeight="1" x14ac:dyDescent="0.3">
      <c r="D317" s="11"/>
    </row>
    <row r="318" spans="4:4" ht="14.7" customHeight="1" x14ac:dyDescent="0.3">
      <c r="D318" s="11"/>
    </row>
    <row r="319" spans="4:4" ht="14.7" customHeight="1" x14ac:dyDescent="0.3">
      <c r="D319" s="11"/>
    </row>
    <row r="320" spans="4:4" ht="14.7" customHeight="1" x14ac:dyDescent="0.3">
      <c r="D320" s="11"/>
    </row>
    <row r="321" spans="4:4" ht="14.7" customHeight="1" x14ac:dyDescent="0.3">
      <c r="D321" s="11"/>
    </row>
    <row r="322" spans="4:4" ht="14.7" customHeight="1" x14ac:dyDescent="0.3">
      <c r="D322" s="11"/>
    </row>
    <row r="323" spans="4:4" ht="14.7" customHeight="1" x14ac:dyDescent="0.3">
      <c r="D323" s="11"/>
    </row>
    <row r="324" spans="4:4" ht="14.7" customHeight="1" x14ac:dyDescent="0.3">
      <c r="D324" s="11"/>
    </row>
    <row r="325" spans="4:4" ht="14.7" customHeight="1" x14ac:dyDescent="0.3">
      <c r="D325" s="11"/>
    </row>
    <row r="326" spans="4:4" ht="14.7" customHeight="1" x14ac:dyDescent="0.3">
      <c r="D326" s="11"/>
    </row>
    <row r="327" spans="4:4" ht="14.7" customHeight="1" x14ac:dyDescent="0.3">
      <c r="D327" s="11"/>
    </row>
    <row r="328" spans="4:4" ht="14.7" customHeight="1" x14ac:dyDescent="0.3">
      <c r="D328" s="11"/>
    </row>
    <row r="329" spans="4:4" ht="14.7" customHeight="1" x14ac:dyDescent="0.3">
      <c r="D329" s="11"/>
    </row>
    <row r="330" spans="4:4" ht="14.7" customHeight="1" x14ac:dyDescent="0.3">
      <c r="D330" s="11"/>
    </row>
    <row r="331" spans="4:4" ht="14.7" customHeight="1" x14ac:dyDescent="0.3">
      <c r="D331" s="11"/>
    </row>
    <row r="332" spans="4:4" ht="14.7" customHeight="1" x14ac:dyDescent="0.3">
      <c r="D332" s="11"/>
    </row>
    <row r="333" spans="4:4" ht="14.7" customHeight="1" x14ac:dyDescent="0.3">
      <c r="D333" s="11"/>
    </row>
    <row r="334" spans="4:4" ht="14.7" customHeight="1" x14ac:dyDescent="0.3">
      <c r="D334" s="11"/>
    </row>
    <row r="335" spans="4:4" ht="14.7" customHeight="1" x14ac:dyDescent="0.3">
      <c r="D335" s="11"/>
    </row>
    <row r="336" spans="4:4" ht="14.7" customHeight="1" x14ac:dyDescent="0.3">
      <c r="D336" s="11"/>
    </row>
    <row r="337" spans="4:4" ht="14.7" customHeight="1" x14ac:dyDescent="0.3">
      <c r="D337" s="11"/>
    </row>
    <row r="338" spans="4:4" ht="14.7" customHeight="1" x14ac:dyDescent="0.3">
      <c r="D338" s="11"/>
    </row>
    <row r="339" spans="4:4" ht="14.7" customHeight="1" x14ac:dyDescent="0.3">
      <c r="D339" s="11"/>
    </row>
    <row r="340" spans="4:4" ht="14.7" customHeight="1" x14ac:dyDescent="0.3">
      <c r="D340" s="11"/>
    </row>
    <row r="341" spans="4:4" ht="14.7" customHeight="1" x14ac:dyDescent="0.3">
      <c r="D341" s="11"/>
    </row>
    <row r="342" spans="4:4" ht="14.7" customHeight="1" x14ac:dyDescent="0.3">
      <c r="D342" s="11"/>
    </row>
    <row r="343" spans="4:4" ht="14.7" customHeight="1" x14ac:dyDescent="0.3">
      <c r="D343" s="11"/>
    </row>
    <row r="344" spans="4:4" ht="14.7" customHeight="1" x14ac:dyDescent="0.3">
      <c r="D344" s="11"/>
    </row>
    <row r="345" spans="4:4" ht="14.7" customHeight="1" x14ac:dyDescent="0.3">
      <c r="D345" s="11"/>
    </row>
    <row r="346" spans="4:4" ht="14.7" customHeight="1" x14ac:dyDescent="0.3">
      <c r="D346" s="11"/>
    </row>
    <row r="347" spans="4:4" ht="14.7" customHeight="1" x14ac:dyDescent="0.3">
      <c r="D347" s="11"/>
    </row>
    <row r="348" spans="4:4" ht="14.7" customHeight="1" x14ac:dyDescent="0.3">
      <c r="D348" s="11"/>
    </row>
    <row r="349" spans="4:4" ht="14.7" customHeight="1" x14ac:dyDescent="0.3">
      <c r="D349" s="11"/>
    </row>
    <row r="350" spans="4:4" ht="14.7" customHeight="1" x14ac:dyDescent="0.3">
      <c r="D350" s="11"/>
    </row>
    <row r="351" spans="4:4" ht="14.7" customHeight="1" x14ac:dyDescent="0.3">
      <c r="D351" s="11"/>
    </row>
    <row r="352" spans="4:4" ht="14.7" customHeight="1" x14ac:dyDescent="0.3">
      <c r="D352" s="11"/>
    </row>
    <row r="353" spans="4:4" ht="14.7" customHeight="1" x14ac:dyDescent="0.3">
      <c r="D353" s="11"/>
    </row>
    <row r="354" spans="4:4" ht="14.7" customHeight="1" x14ac:dyDescent="0.3">
      <c r="D354" s="11"/>
    </row>
    <row r="355" spans="4:4" ht="14.7" customHeight="1" x14ac:dyDescent="0.3">
      <c r="D355" s="11"/>
    </row>
    <row r="356" spans="4:4" ht="14.7" customHeight="1" x14ac:dyDescent="0.3">
      <c r="D356" s="11"/>
    </row>
    <row r="357" spans="4:4" ht="14.7" customHeight="1" x14ac:dyDescent="0.3">
      <c r="D357" s="11"/>
    </row>
    <row r="358" spans="4:4" ht="14.7" customHeight="1" x14ac:dyDescent="0.3">
      <c r="D358" s="11"/>
    </row>
    <row r="359" spans="4:4" ht="14.7" customHeight="1" x14ac:dyDescent="0.3">
      <c r="D359" s="11"/>
    </row>
    <row r="360" spans="4:4" ht="14.7" customHeight="1" x14ac:dyDescent="0.3">
      <c r="D360" s="11"/>
    </row>
    <row r="361" spans="4:4" ht="14.7" customHeight="1" x14ac:dyDescent="0.3">
      <c r="D361" s="11"/>
    </row>
    <row r="362" spans="4:4" ht="14.7" customHeight="1" x14ac:dyDescent="0.3">
      <c r="D362" s="11"/>
    </row>
    <row r="363" spans="4:4" ht="14.7" customHeight="1" x14ac:dyDescent="0.3">
      <c r="D363" s="11"/>
    </row>
    <row r="364" spans="4:4" ht="14.7" customHeight="1" x14ac:dyDescent="0.3">
      <c r="D364" s="11"/>
    </row>
    <row r="365" spans="4:4" ht="14.7" customHeight="1" x14ac:dyDescent="0.3">
      <c r="D365" s="11"/>
    </row>
    <row r="366" spans="4:4" ht="14.7" customHeight="1" x14ac:dyDescent="0.3">
      <c r="D366" s="11"/>
    </row>
    <row r="367" spans="4:4" ht="14.7" customHeight="1" x14ac:dyDescent="0.3">
      <c r="D367" s="11"/>
    </row>
    <row r="368" spans="4:4" ht="14.7" customHeight="1" x14ac:dyDescent="0.3">
      <c r="D368" s="11"/>
    </row>
    <row r="369" spans="4:4" ht="14.7" customHeight="1" x14ac:dyDescent="0.3">
      <c r="D369" s="11"/>
    </row>
    <row r="370" spans="4:4" ht="14.7" customHeight="1" x14ac:dyDescent="0.3">
      <c r="D370" s="11"/>
    </row>
    <row r="371" spans="4:4" ht="14.7" customHeight="1" x14ac:dyDescent="0.3">
      <c r="D371" s="11"/>
    </row>
    <row r="372" spans="4:4" ht="14.7" customHeight="1" x14ac:dyDescent="0.3">
      <c r="D372" s="11"/>
    </row>
    <row r="373" spans="4:4" ht="14.7" customHeight="1" x14ac:dyDescent="0.3">
      <c r="D373" s="11"/>
    </row>
    <row r="374" spans="4:4" ht="14.7" customHeight="1" x14ac:dyDescent="0.3">
      <c r="D374" s="11"/>
    </row>
    <row r="375" spans="4:4" ht="14.7" customHeight="1" x14ac:dyDescent="0.3">
      <c r="D375" s="11"/>
    </row>
    <row r="376" spans="4:4" ht="14.7" customHeight="1" x14ac:dyDescent="0.3">
      <c r="D376" s="11"/>
    </row>
    <row r="377" spans="4:4" ht="14.7" customHeight="1" x14ac:dyDescent="0.3">
      <c r="D377" s="11"/>
    </row>
    <row r="378" spans="4:4" ht="14.7" customHeight="1" x14ac:dyDescent="0.3">
      <c r="D378" s="11"/>
    </row>
    <row r="379" spans="4:4" ht="14.7" customHeight="1" x14ac:dyDescent="0.3">
      <c r="D379" s="11"/>
    </row>
    <row r="380" spans="4:4" ht="14.7" customHeight="1" x14ac:dyDescent="0.3">
      <c r="D380" s="11"/>
    </row>
    <row r="381" spans="4:4" ht="14.7" customHeight="1" x14ac:dyDescent="0.3">
      <c r="D381" s="11"/>
    </row>
    <row r="382" spans="4:4" ht="14.7" customHeight="1" x14ac:dyDescent="0.3">
      <c r="D382" s="11"/>
    </row>
    <row r="383" spans="4:4" ht="14.7" customHeight="1" x14ac:dyDescent="0.3">
      <c r="D383" s="11"/>
    </row>
    <row r="384" spans="4:4" ht="14.7" customHeight="1" x14ac:dyDescent="0.3">
      <c r="D384" s="11"/>
    </row>
    <row r="385" spans="4:4" ht="14.7" customHeight="1" x14ac:dyDescent="0.3">
      <c r="D385" s="11"/>
    </row>
    <row r="386" spans="4:4" ht="14.7" customHeight="1" x14ac:dyDescent="0.3">
      <c r="D386" s="11"/>
    </row>
    <row r="387" spans="4:4" ht="14.7" customHeight="1" x14ac:dyDescent="0.3">
      <c r="D387" s="11"/>
    </row>
    <row r="388" spans="4:4" ht="14.7" customHeight="1" x14ac:dyDescent="0.3">
      <c r="D388" s="11"/>
    </row>
    <row r="389" spans="4:4" ht="14.7" customHeight="1" x14ac:dyDescent="0.3">
      <c r="D389" s="11"/>
    </row>
    <row r="390" spans="4:4" ht="14.7" customHeight="1" x14ac:dyDescent="0.3">
      <c r="D390" s="11"/>
    </row>
    <row r="391" spans="4:4" ht="14.7" customHeight="1" x14ac:dyDescent="0.3">
      <c r="D391" s="11"/>
    </row>
    <row r="392" spans="4:4" ht="14.7" customHeight="1" x14ac:dyDescent="0.3">
      <c r="D392" s="11"/>
    </row>
    <row r="393" spans="4:4" ht="14.7" customHeight="1" x14ac:dyDescent="0.3">
      <c r="D393" s="11"/>
    </row>
    <row r="394" spans="4:4" ht="14.7" customHeight="1" x14ac:dyDescent="0.3">
      <c r="D394" s="11"/>
    </row>
    <row r="395" spans="4:4" ht="14.7" customHeight="1" x14ac:dyDescent="0.3">
      <c r="D395" s="11"/>
    </row>
    <row r="396" spans="4:4" ht="14.7" customHeight="1" x14ac:dyDescent="0.3">
      <c r="D396" s="11"/>
    </row>
    <row r="397" spans="4:4" ht="14.7" customHeight="1" x14ac:dyDescent="0.3">
      <c r="D397" s="11"/>
    </row>
    <row r="398" spans="4:4" ht="14.7" customHeight="1" x14ac:dyDescent="0.3">
      <c r="D398" s="11"/>
    </row>
    <row r="399" spans="4:4" ht="14.7" customHeight="1" x14ac:dyDescent="0.3">
      <c r="D399" s="11"/>
    </row>
    <row r="400" spans="4:4" ht="14.7" customHeight="1" x14ac:dyDescent="0.3">
      <c r="D400" s="11"/>
    </row>
    <row r="401" spans="4:4" ht="14.7" customHeight="1" x14ac:dyDescent="0.3">
      <c r="D401" s="11"/>
    </row>
    <row r="402" spans="4:4" ht="14.7" customHeight="1" x14ac:dyDescent="0.3">
      <c r="D402" s="11"/>
    </row>
    <row r="403" spans="4:4" ht="14.7" customHeight="1" x14ac:dyDescent="0.3">
      <c r="D403" s="11"/>
    </row>
    <row r="404" spans="4:4" ht="14.7" customHeight="1" x14ac:dyDescent="0.3">
      <c r="D404" s="11"/>
    </row>
    <row r="405" spans="4:4" ht="14.7" customHeight="1" x14ac:dyDescent="0.3">
      <c r="D405" s="11"/>
    </row>
    <row r="406" spans="4:4" ht="14.7" customHeight="1" x14ac:dyDescent="0.3">
      <c r="D406" s="11"/>
    </row>
    <row r="407" spans="4:4" ht="14.7" customHeight="1" x14ac:dyDescent="0.3">
      <c r="D407" s="11"/>
    </row>
    <row r="408" spans="4:4" ht="14.7" customHeight="1" x14ac:dyDescent="0.3">
      <c r="D408" s="11"/>
    </row>
    <row r="409" spans="4:4" ht="14.7" customHeight="1" x14ac:dyDescent="0.3">
      <c r="D409" s="11"/>
    </row>
    <row r="410" spans="4:4" ht="14.7" customHeight="1" x14ac:dyDescent="0.3">
      <c r="D410" s="11"/>
    </row>
    <row r="411" spans="4:4" ht="14.7" customHeight="1" x14ac:dyDescent="0.3">
      <c r="D411" s="11"/>
    </row>
    <row r="412" spans="4:4" ht="14.7" customHeight="1" x14ac:dyDescent="0.3">
      <c r="D412" s="11"/>
    </row>
    <row r="413" spans="4:4" ht="14.7" customHeight="1" x14ac:dyDescent="0.3">
      <c r="D413" s="11"/>
    </row>
    <row r="414" spans="4:4" ht="14.7" customHeight="1" x14ac:dyDescent="0.3">
      <c r="D414" s="11"/>
    </row>
    <row r="415" spans="4:4" ht="14.7" customHeight="1" x14ac:dyDescent="0.3">
      <c r="D415" s="11"/>
    </row>
    <row r="416" spans="4:4" ht="14.7" customHeight="1" x14ac:dyDescent="0.3">
      <c r="D416" s="11"/>
    </row>
    <row r="417" spans="4:4" ht="14.7" customHeight="1" x14ac:dyDescent="0.3">
      <c r="D417" s="11"/>
    </row>
    <row r="418" spans="4:4" ht="14.7" customHeight="1" x14ac:dyDescent="0.3">
      <c r="D418" s="11"/>
    </row>
    <row r="419" spans="4:4" ht="14.7" customHeight="1" x14ac:dyDescent="0.3">
      <c r="D419" s="11"/>
    </row>
    <row r="420" spans="4:4" ht="14.7" customHeight="1" x14ac:dyDescent="0.3">
      <c r="D420" s="11"/>
    </row>
    <row r="421" spans="4:4" ht="14.7" customHeight="1" x14ac:dyDescent="0.3">
      <c r="D421" s="11"/>
    </row>
    <row r="422" spans="4:4" ht="14.7" customHeight="1" x14ac:dyDescent="0.3">
      <c r="D422" s="11"/>
    </row>
    <row r="423" spans="4:4" ht="14.7" customHeight="1" x14ac:dyDescent="0.3">
      <c r="D423" s="11"/>
    </row>
    <row r="424" spans="4:4" ht="14.7" customHeight="1" x14ac:dyDescent="0.3">
      <c r="D424" s="11"/>
    </row>
    <row r="425" spans="4:4" ht="14.7" customHeight="1" x14ac:dyDescent="0.3">
      <c r="D425" s="11"/>
    </row>
    <row r="426" spans="4:4" ht="14.7" customHeight="1" x14ac:dyDescent="0.3">
      <c r="D426" s="11"/>
    </row>
    <row r="427" spans="4:4" ht="14.7" customHeight="1" x14ac:dyDescent="0.3">
      <c r="D427" s="11"/>
    </row>
    <row r="428" spans="4:4" ht="14.7" customHeight="1" x14ac:dyDescent="0.3">
      <c r="D428" s="11"/>
    </row>
    <row r="429" spans="4:4" ht="14.7" customHeight="1" x14ac:dyDescent="0.3">
      <c r="D429" s="11"/>
    </row>
    <row r="430" spans="4:4" ht="14.7" customHeight="1" x14ac:dyDescent="0.3">
      <c r="D430" s="11"/>
    </row>
    <row r="431" spans="4:4" ht="14.7" customHeight="1" x14ac:dyDescent="0.3">
      <c r="D431" s="11"/>
    </row>
    <row r="432" spans="4:4" ht="14.7" customHeight="1" x14ac:dyDescent="0.3">
      <c r="D432" s="11"/>
    </row>
    <row r="433" spans="4:4" ht="14.7" customHeight="1" x14ac:dyDescent="0.3">
      <c r="D433" s="11"/>
    </row>
    <row r="434" spans="4:4" ht="14.7" customHeight="1" x14ac:dyDescent="0.3">
      <c r="D434" s="11"/>
    </row>
    <row r="435" spans="4:4" ht="14.7" customHeight="1" x14ac:dyDescent="0.3">
      <c r="D435" s="11"/>
    </row>
    <row r="436" spans="4:4" ht="14.7" customHeight="1" x14ac:dyDescent="0.3">
      <c r="D436" s="11"/>
    </row>
    <row r="437" spans="4:4" ht="14.7" customHeight="1" x14ac:dyDescent="0.3">
      <c r="D437" s="11"/>
    </row>
    <row r="438" spans="4:4" ht="14.7" customHeight="1" x14ac:dyDescent="0.3">
      <c r="D438" s="11"/>
    </row>
    <row r="439" spans="4:4" ht="14.7" customHeight="1" x14ac:dyDescent="0.3">
      <c r="D439" s="11"/>
    </row>
    <row r="440" spans="4:4" ht="14.7" customHeight="1" x14ac:dyDescent="0.3">
      <c r="D440" s="11"/>
    </row>
    <row r="441" spans="4:4" ht="14.7" customHeight="1" x14ac:dyDescent="0.3">
      <c r="D441" s="11"/>
    </row>
    <row r="442" spans="4:4" ht="14.7" customHeight="1" x14ac:dyDescent="0.3">
      <c r="D442" s="11"/>
    </row>
    <row r="443" spans="4:4" ht="14.7" customHeight="1" x14ac:dyDescent="0.3">
      <c r="D443" s="11"/>
    </row>
    <row r="444" spans="4:4" ht="14.7" customHeight="1" x14ac:dyDescent="0.3">
      <c r="D444" s="11"/>
    </row>
    <row r="445" spans="4:4" ht="14.7" customHeight="1" x14ac:dyDescent="0.3">
      <c r="D445" s="11"/>
    </row>
    <row r="446" spans="4:4" ht="14.7" customHeight="1" x14ac:dyDescent="0.3">
      <c r="D446" s="11"/>
    </row>
    <row r="447" spans="4:4" ht="14.7" customHeight="1" x14ac:dyDescent="0.3">
      <c r="D447" s="11"/>
    </row>
    <row r="448" spans="4:4" ht="14.7" customHeight="1" x14ac:dyDescent="0.3">
      <c r="D448" s="11"/>
    </row>
    <row r="449" spans="4:4" ht="14.7" customHeight="1" x14ac:dyDescent="0.3">
      <c r="D449" s="11"/>
    </row>
    <row r="450" spans="4:4" ht="14.7" customHeight="1" x14ac:dyDescent="0.3">
      <c r="D450" s="11"/>
    </row>
    <row r="451" spans="4:4" ht="14.7" customHeight="1" x14ac:dyDescent="0.3">
      <c r="D451" s="11"/>
    </row>
    <row r="452" spans="4:4" ht="14.7" customHeight="1" x14ac:dyDescent="0.3">
      <c r="D452" s="11"/>
    </row>
    <row r="453" spans="4:4" ht="14.7" customHeight="1" x14ac:dyDescent="0.3">
      <c r="D453" s="11"/>
    </row>
    <row r="454" spans="4:4" ht="14.7" customHeight="1" x14ac:dyDescent="0.3">
      <c r="D454" s="11"/>
    </row>
    <row r="455" spans="4:4" ht="14.7" customHeight="1" x14ac:dyDescent="0.3">
      <c r="D455" s="11"/>
    </row>
    <row r="456" spans="4:4" ht="14.7" customHeight="1" x14ac:dyDescent="0.3">
      <c r="D456" s="11"/>
    </row>
    <row r="457" spans="4:4" ht="14.7" customHeight="1" x14ac:dyDescent="0.3">
      <c r="D457" s="11"/>
    </row>
    <row r="458" spans="4:4" ht="14.7" customHeight="1" x14ac:dyDescent="0.3">
      <c r="D458" s="11"/>
    </row>
    <row r="459" spans="4:4" ht="14.7" customHeight="1" x14ac:dyDescent="0.3">
      <c r="D459" s="11"/>
    </row>
    <row r="460" spans="4:4" ht="14.7" customHeight="1" x14ac:dyDescent="0.3">
      <c r="D460" s="11"/>
    </row>
    <row r="461" spans="4:4" ht="14.7" customHeight="1" x14ac:dyDescent="0.3">
      <c r="D461" s="11"/>
    </row>
    <row r="462" spans="4:4" ht="14.7" customHeight="1" x14ac:dyDescent="0.3">
      <c r="D462" s="11"/>
    </row>
    <row r="463" spans="4:4" ht="14.7" customHeight="1" x14ac:dyDescent="0.3">
      <c r="D463" s="11"/>
    </row>
    <row r="464" spans="4:4" ht="14.7" customHeight="1" x14ac:dyDescent="0.3">
      <c r="D464" s="11"/>
    </row>
    <row r="465" spans="4:4" ht="14.7" customHeight="1" x14ac:dyDescent="0.3">
      <c r="D465" s="11"/>
    </row>
    <row r="466" spans="4:4" ht="14.7" customHeight="1" x14ac:dyDescent="0.3">
      <c r="D466" s="11"/>
    </row>
    <row r="467" spans="4:4" ht="14.7" customHeight="1" x14ac:dyDescent="0.3">
      <c r="D467" s="11"/>
    </row>
    <row r="468" spans="4:4" ht="14.7" customHeight="1" x14ac:dyDescent="0.3">
      <c r="D468" s="11"/>
    </row>
    <row r="469" spans="4:4" ht="14.7" customHeight="1" x14ac:dyDescent="0.3">
      <c r="D469" s="11"/>
    </row>
    <row r="470" spans="4:4" ht="14.7" customHeight="1" x14ac:dyDescent="0.3">
      <c r="D470" s="11"/>
    </row>
    <row r="471" spans="4:4" ht="14.7" customHeight="1" x14ac:dyDescent="0.3">
      <c r="D471" s="11"/>
    </row>
    <row r="472" spans="4:4" ht="14.7" customHeight="1" x14ac:dyDescent="0.3">
      <c r="D472" s="11"/>
    </row>
    <row r="473" spans="4:4" ht="14.7" customHeight="1" x14ac:dyDescent="0.3">
      <c r="D473" s="11"/>
    </row>
    <row r="474" spans="4:4" ht="14.7" customHeight="1" x14ac:dyDescent="0.3">
      <c r="D474" s="11"/>
    </row>
    <row r="475" spans="4:4" ht="14.7" customHeight="1" x14ac:dyDescent="0.3">
      <c r="D475" s="11"/>
    </row>
    <row r="476" spans="4:4" ht="14.7" customHeight="1" x14ac:dyDescent="0.3">
      <c r="D476" s="11"/>
    </row>
    <row r="477" spans="4:4" ht="14.7" customHeight="1" x14ac:dyDescent="0.3">
      <c r="D477" s="11"/>
    </row>
  </sheetData>
  <sheetProtection selectLockedCells="1"/>
  <mergeCells count="45">
    <mergeCell ref="P32:S32"/>
    <mergeCell ref="P33:S33"/>
    <mergeCell ref="A35:AH38"/>
    <mergeCell ref="P34:S34"/>
    <mergeCell ref="P27:S27"/>
    <mergeCell ref="P28:S28"/>
    <mergeCell ref="P29:S29"/>
    <mergeCell ref="P30:S30"/>
    <mergeCell ref="P31:S31"/>
    <mergeCell ref="Q13:R14"/>
    <mergeCell ref="Q16:R17"/>
    <mergeCell ref="Q19:R20"/>
    <mergeCell ref="Q22:R23"/>
    <mergeCell ref="P7:S7"/>
    <mergeCell ref="P8:S8"/>
    <mergeCell ref="Q10:R11"/>
    <mergeCell ref="U2:AF2"/>
    <mergeCell ref="U3:V3"/>
    <mergeCell ref="W3:AA3"/>
    <mergeCell ref="AB3:AC3"/>
    <mergeCell ref="AD3:AF3"/>
    <mergeCell ref="C2:N2"/>
    <mergeCell ref="E3:I3"/>
    <mergeCell ref="P2:S2"/>
    <mergeCell ref="P3:S3"/>
    <mergeCell ref="P4:S4"/>
    <mergeCell ref="C3:D3"/>
    <mergeCell ref="J3:K3"/>
    <mergeCell ref="L3:N3"/>
    <mergeCell ref="C4:D4"/>
    <mergeCell ref="E4:N4"/>
    <mergeCell ref="U4:V4"/>
    <mergeCell ref="W4:AF4"/>
    <mergeCell ref="U5:V5"/>
    <mergeCell ref="W5:X5"/>
    <mergeCell ref="Y5:AA5"/>
    <mergeCell ref="AB5:AC5"/>
    <mergeCell ref="T7:AG7"/>
    <mergeCell ref="B7:O7"/>
    <mergeCell ref="C5:D5"/>
    <mergeCell ref="E5:F5"/>
    <mergeCell ref="G5:I5"/>
    <mergeCell ref="J5:K5"/>
    <mergeCell ref="L5:N5"/>
    <mergeCell ref="AD5:AF5"/>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40">
      <formula>AND(O28&gt;=0.85,O28&lt;=0.93999)</formula>
    </cfRule>
    <cfRule type="expression" dxfId="45" priority="537">
      <formula>O28&lt;0.75</formula>
    </cfRule>
    <cfRule type="expression" dxfId="44" priority="538">
      <formula>AND(O28&gt;=0.75,O28&lt;=0.84999)</formula>
    </cfRule>
    <cfRule type="expression" dxfId="43" priority="539">
      <formula>O28&gt;0.94</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3">
      <formula>AG28&gt;0.94</formula>
    </cfRule>
    <cfRule type="expression" dxfId="1" priority="524">
      <formula>AND(AG28&gt;=0.85,AG28&lt;=0.93999)</formula>
    </cfRule>
    <cfRule type="expression" dxfId="0" priority="522">
      <formula>AND(AG28&gt;=0.75,AG28&lt;=0.84999)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8" id="{B18F5580-F860-407E-861E-20B7706747CF}">
            <xm:f>calculations!$M$60&gt;0.94</xm:f>
            <x14:dxf>
              <font>
                <b/>
                <i val="0"/>
                <color theme="0"/>
              </font>
              <fill>
                <patternFill>
                  <bgColor theme="1"/>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5" id="{11506E48-1D6F-4200-BFE8-1CAED2155A52}">
            <xm:f>calculations!$M$60&lt;0.75</xm:f>
            <x14:dxf>
              <font>
                <b/>
                <i val="0"/>
                <color theme="0"/>
              </font>
              <fill>
                <patternFill>
                  <bgColor rgb="FFFF0000"/>
                </patternFill>
              </fill>
            </x14:dxf>
          </x14:cfRule>
          <xm:sqref>P20</xm:sqref>
        </x14:conditionalFormatting>
        <x14:conditionalFormatting xmlns:xm="http://schemas.microsoft.com/office/excel/2006/main">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m:sqref>S11</xm:sqref>
        </x14:conditionalFormatting>
        <x14:conditionalFormatting xmlns:xm="http://schemas.microsoft.com/office/excel/2006/main">
          <x14:cfRule type="expression" priority="36" id="{603A95FA-A8E1-4153-8E21-5EC99D9488DF}">
            <xm:f>calculations!$AC$60&gt;0.94</xm:f>
            <x14:dxf>
              <font>
                <b/>
                <i val="0"/>
                <color theme="0"/>
              </font>
              <fill>
                <patternFill>
                  <bgColor theme="1"/>
                </patternFill>
              </fill>
            </x14:dxf>
          </x14:cfRule>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14:cfRule type="expression" priority="7" id="{D7A1823A-D25B-4CF8-BA71-0FE46021DF41}">
            <xm:f>AND(calculations!$AA$60&gt;=0.85,calculations!$AA$60&lt;=0.93999)</xm:f>
            <x14:dxf>
              <font>
                <b/>
                <i val="0"/>
                <color theme="0"/>
              </font>
              <fill>
                <patternFill>
                  <bgColor rgb="FF00B05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x14ac:dyDescent="0.3"/>
  <cols>
    <col min="1" max="20" width="9.109375" customWidth="1"/>
    <col min="21" max="16384" width="9.109375" hidden="1"/>
  </cols>
  <sheetData>
    <row r="1" spans="1:20" ht="31.2" x14ac:dyDescent="0.6">
      <c r="A1" s="236" t="s">
        <v>27</v>
      </c>
      <c r="B1" s="236"/>
      <c r="C1" s="236"/>
      <c r="D1" s="236"/>
      <c r="E1" s="236"/>
      <c r="F1" s="236"/>
      <c r="G1" s="236"/>
      <c r="H1" s="236"/>
      <c r="I1" s="236"/>
      <c r="J1" s="236"/>
      <c r="K1" s="236"/>
      <c r="L1" s="236"/>
      <c r="M1" s="236"/>
      <c r="N1" s="236"/>
      <c r="O1" s="236"/>
      <c r="P1" s="236"/>
      <c r="Q1" s="36"/>
      <c r="R1" s="42" t="s">
        <v>28</v>
      </c>
      <c r="S1" s="36"/>
      <c r="T1" s="36"/>
    </row>
    <row r="2" spans="1:20" x14ac:dyDescent="0.3">
      <c r="A2" s="36"/>
      <c r="B2" s="36"/>
      <c r="C2" s="36"/>
      <c r="D2" s="36"/>
      <c r="E2" s="36"/>
      <c r="F2" s="36"/>
      <c r="G2" s="36"/>
      <c r="H2" s="36"/>
      <c r="I2" s="36"/>
      <c r="J2" s="36"/>
      <c r="K2" s="36"/>
      <c r="L2" s="36"/>
      <c r="M2" s="36"/>
      <c r="N2" s="36"/>
      <c r="O2" s="36"/>
      <c r="P2" s="36"/>
      <c r="Q2" s="36"/>
      <c r="R2" s="36"/>
      <c r="S2" s="36"/>
      <c r="T2" s="36"/>
    </row>
    <row r="3" spans="1:20" ht="18.600000000000001" thickBot="1" x14ac:dyDescent="0.4">
      <c r="A3" s="237" t="s">
        <v>29</v>
      </c>
      <c r="B3" s="237"/>
      <c r="C3" s="237"/>
      <c r="D3" s="237"/>
      <c r="E3" s="237"/>
      <c r="F3" s="237"/>
      <c r="G3" s="237"/>
      <c r="H3" s="237"/>
      <c r="I3" s="237"/>
      <c r="J3" s="54"/>
      <c r="K3" s="54"/>
      <c r="L3" s="54"/>
      <c r="M3" s="54"/>
      <c r="N3" s="54"/>
      <c r="O3" s="54"/>
      <c r="P3" s="54"/>
      <c r="Q3" s="54"/>
      <c r="R3" s="54"/>
      <c r="S3" s="54"/>
      <c r="T3" s="36"/>
    </row>
    <row r="4" spans="1:20" x14ac:dyDescent="0.3">
      <c r="A4" s="44" t="s">
        <v>30</v>
      </c>
      <c r="B4" s="36"/>
      <c r="C4" s="36"/>
      <c r="D4" s="36"/>
      <c r="E4" s="36"/>
      <c r="F4" s="36"/>
      <c r="G4" s="36"/>
      <c r="H4" s="36"/>
      <c r="I4" s="36"/>
      <c r="J4" s="36"/>
      <c r="K4" s="36"/>
      <c r="L4" s="36"/>
      <c r="M4" s="36"/>
      <c r="N4" s="36"/>
      <c r="O4" s="36"/>
      <c r="P4" s="36"/>
      <c r="Q4" s="36"/>
      <c r="R4" s="36"/>
      <c r="S4" s="36"/>
      <c r="T4" s="36"/>
    </row>
    <row r="5" spans="1:20" x14ac:dyDescent="0.3">
      <c r="A5" s="36"/>
      <c r="B5" s="36"/>
      <c r="C5" s="36"/>
      <c r="D5" s="36"/>
      <c r="E5" s="36"/>
      <c r="F5" s="36"/>
      <c r="G5" s="36"/>
      <c r="H5" s="36"/>
      <c r="I5" s="36"/>
      <c r="J5" s="36"/>
      <c r="K5" s="36"/>
      <c r="L5" s="36"/>
      <c r="M5" s="36"/>
      <c r="N5" s="36"/>
      <c r="O5" s="36"/>
      <c r="P5" s="36"/>
      <c r="Q5" s="36"/>
      <c r="R5" s="36"/>
      <c r="S5" s="36"/>
      <c r="T5" s="36"/>
    </row>
    <row r="6" spans="1:20" ht="18.600000000000001" thickBot="1" x14ac:dyDescent="0.4">
      <c r="A6" s="237" t="s">
        <v>31</v>
      </c>
      <c r="B6" s="237"/>
      <c r="C6" s="237"/>
      <c r="D6" s="237"/>
      <c r="E6" s="237"/>
      <c r="F6" s="237"/>
      <c r="G6" s="237"/>
      <c r="H6" s="237"/>
      <c r="I6" s="237"/>
      <c r="J6" s="36"/>
      <c r="K6" s="237" t="s">
        <v>32</v>
      </c>
      <c r="L6" s="237"/>
      <c r="M6" s="237"/>
      <c r="N6" s="237"/>
      <c r="O6" s="237"/>
      <c r="P6" s="237"/>
      <c r="Q6" s="237"/>
      <c r="R6" s="237"/>
      <c r="S6" s="237"/>
      <c r="T6" s="36"/>
    </row>
    <row r="7" spans="1:20" ht="23.25" customHeight="1" x14ac:dyDescent="0.3">
      <c r="A7" s="248" t="s">
        <v>33</v>
      </c>
      <c r="B7" s="248"/>
      <c r="C7" s="248"/>
      <c r="D7" s="248"/>
      <c r="E7" s="248"/>
      <c r="F7" s="248"/>
      <c r="G7" s="248"/>
      <c r="H7" s="248"/>
      <c r="I7" s="248"/>
      <c r="J7" s="36"/>
      <c r="K7" s="239" t="s">
        <v>34</v>
      </c>
      <c r="L7" s="240"/>
      <c r="M7" s="240"/>
      <c r="N7" s="240"/>
      <c r="O7" s="240"/>
      <c r="P7" s="240"/>
      <c r="Q7" s="240"/>
      <c r="R7" s="240"/>
      <c r="S7" s="241"/>
      <c r="T7" s="36"/>
    </row>
    <row r="8" spans="1:20" ht="23.25" customHeight="1" thickBot="1" x14ac:dyDescent="0.35">
      <c r="A8" s="248"/>
      <c r="B8" s="248"/>
      <c r="C8" s="248"/>
      <c r="D8" s="248"/>
      <c r="E8" s="248"/>
      <c r="F8" s="248"/>
      <c r="G8" s="248"/>
      <c r="H8" s="248"/>
      <c r="I8" s="248"/>
      <c r="J8" s="36"/>
      <c r="K8" s="242"/>
      <c r="L8" s="243"/>
      <c r="M8" s="243"/>
      <c r="N8" s="243"/>
      <c r="O8" s="243"/>
      <c r="P8" s="243"/>
      <c r="Q8" s="243"/>
      <c r="R8" s="243"/>
      <c r="S8" s="244"/>
      <c r="T8" s="36"/>
    </row>
    <row r="9" spans="1:20" ht="10.5" customHeight="1" thickBot="1" x14ac:dyDescent="0.35">
      <c r="A9" s="43"/>
      <c r="B9" s="43"/>
      <c r="C9" s="43"/>
      <c r="D9" s="43"/>
      <c r="E9" s="43"/>
      <c r="F9" s="43"/>
      <c r="G9" s="43"/>
      <c r="H9" s="43"/>
      <c r="I9" s="43"/>
      <c r="J9" s="36"/>
      <c r="K9" s="238"/>
      <c r="L9" s="238"/>
      <c r="M9" s="238"/>
      <c r="N9" s="238"/>
      <c r="O9" s="238"/>
      <c r="P9" s="238"/>
      <c r="Q9" s="238"/>
      <c r="R9" s="238"/>
      <c r="S9" s="238"/>
      <c r="T9" s="36"/>
    </row>
    <row r="10" spans="1:20" ht="23.25" customHeight="1" x14ac:dyDescent="0.3">
      <c r="A10" s="249" t="s">
        <v>35</v>
      </c>
      <c r="B10" s="250"/>
      <c r="C10" s="250"/>
      <c r="D10" s="250"/>
      <c r="E10" s="250"/>
      <c r="F10" s="250"/>
      <c r="G10" s="250"/>
      <c r="H10" s="250"/>
      <c r="I10" s="251"/>
      <c r="J10" s="36"/>
      <c r="K10" s="239" t="s">
        <v>36</v>
      </c>
      <c r="L10" s="240"/>
      <c r="M10" s="240"/>
      <c r="N10" s="240"/>
      <c r="O10" s="240"/>
      <c r="P10" s="240"/>
      <c r="Q10" s="240"/>
      <c r="R10" s="240"/>
      <c r="S10" s="241"/>
      <c r="T10" s="36"/>
    </row>
    <row r="11" spans="1:20" ht="23.25" customHeight="1" x14ac:dyDescent="0.3">
      <c r="A11" s="252"/>
      <c r="B11" s="253"/>
      <c r="C11" s="253"/>
      <c r="D11" s="253"/>
      <c r="E11" s="253"/>
      <c r="F11" s="253"/>
      <c r="G11" s="253"/>
      <c r="H11" s="253"/>
      <c r="I11" s="254"/>
      <c r="J11" s="36"/>
      <c r="K11" s="245"/>
      <c r="L11" s="246"/>
      <c r="M11" s="246"/>
      <c r="N11" s="246"/>
      <c r="O11" s="246"/>
      <c r="P11" s="246"/>
      <c r="Q11" s="246"/>
      <c r="R11" s="246"/>
      <c r="S11" s="247"/>
      <c r="T11" s="36"/>
    </row>
    <row r="12" spans="1:20" ht="23.25" customHeight="1" thickBot="1" x14ac:dyDescent="0.35">
      <c r="A12" s="45"/>
      <c r="B12" s="46"/>
      <c r="C12" s="46"/>
      <c r="D12" s="46"/>
      <c r="E12" s="46"/>
      <c r="F12" s="46"/>
      <c r="G12" s="46"/>
      <c r="H12" s="46"/>
      <c r="I12" s="47"/>
      <c r="J12" s="36"/>
      <c r="K12" s="242"/>
      <c r="L12" s="243"/>
      <c r="M12" s="243"/>
      <c r="N12" s="243"/>
      <c r="O12" s="243"/>
      <c r="P12" s="243"/>
      <c r="Q12" s="243"/>
      <c r="R12" s="243"/>
      <c r="S12" s="244"/>
      <c r="T12" s="36"/>
    </row>
    <row r="13" spans="1:20" ht="10.5" customHeight="1" thickBot="1" x14ac:dyDescent="0.35">
      <c r="A13" s="48"/>
      <c r="B13" s="49"/>
      <c r="C13" s="49"/>
      <c r="D13" s="49"/>
      <c r="E13" s="49"/>
      <c r="F13" s="49"/>
      <c r="G13" s="49"/>
      <c r="H13" s="49"/>
      <c r="I13" s="50"/>
      <c r="J13" s="36"/>
      <c r="K13" s="238"/>
      <c r="L13" s="238"/>
      <c r="M13" s="238"/>
      <c r="N13" s="238"/>
      <c r="O13" s="238"/>
      <c r="P13" s="238"/>
      <c r="Q13" s="238"/>
      <c r="R13" s="238"/>
      <c r="S13" s="238"/>
      <c r="T13" s="36"/>
    </row>
    <row r="14" spans="1:20" ht="23.25" customHeight="1" x14ac:dyDescent="0.3">
      <c r="A14" s="48"/>
      <c r="B14" s="49"/>
      <c r="C14" s="49"/>
      <c r="D14" s="49"/>
      <c r="E14" s="49"/>
      <c r="F14" s="49"/>
      <c r="G14" s="49"/>
      <c r="H14" s="49"/>
      <c r="I14" s="50"/>
      <c r="J14" s="36"/>
      <c r="K14" s="239" t="s">
        <v>37</v>
      </c>
      <c r="L14" s="240"/>
      <c r="M14" s="240"/>
      <c r="N14" s="240"/>
      <c r="O14" s="240"/>
      <c r="P14" s="240"/>
      <c r="Q14" s="240"/>
      <c r="R14" s="240"/>
      <c r="S14" s="241"/>
      <c r="T14" s="36"/>
    </row>
    <row r="15" spans="1:20" ht="23.25" customHeight="1" thickBot="1" x14ac:dyDescent="0.35">
      <c r="A15" s="51"/>
      <c r="B15" s="52"/>
      <c r="C15" s="52"/>
      <c r="D15" s="52"/>
      <c r="E15" s="52"/>
      <c r="F15" s="52"/>
      <c r="G15" s="52"/>
      <c r="H15" s="52"/>
      <c r="I15" s="53"/>
      <c r="J15" s="36"/>
      <c r="K15" s="242"/>
      <c r="L15" s="243"/>
      <c r="M15" s="243"/>
      <c r="N15" s="243"/>
      <c r="O15" s="243"/>
      <c r="P15" s="243"/>
      <c r="Q15" s="243"/>
      <c r="R15" s="243"/>
      <c r="S15" s="244"/>
      <c r="T15" s="36"/>
    </row>
    <row r="16" spans="1:20" ht="10.5" customHeight="1" thickBot="1" x14ac:dyDescent="0.35">
      <c r="A16" s="43"/>
      <c r="B16" s="43"/>
      <c r="C16" s="43"/>
      <c r="D16" s="43"/>
      <c r="E16" s="43"/>
      <c r="F16" s="43"/>
      <c r="G16" s="43"/>
      <c r="H16" s="43"/>
      <c r="I16" s="43"/>
      <c r="J16" s="36"/>
      <c r="K16" s="238"/>
      <c r="L16" s="238"/>
      <c r="M16" s="238"/>
      <c r="N16" s="238"/>
      <c r="O16" s="238"/>
      <c r="P16" s="238"/>
      <c r="Q16" s="238"/>
      <c r="R16" s="238"/>
      <c r="S16" s="238"/>
      <c r="T16" s="36"/>
    </row>
    <row r="17" spans="1:20" ht="23.25" customHeight="1" x14ac:dyDescent="0.3">
      <c r="A17" s="249" t="s">
        <v>38</v>
      </c>
      <c r="B17" s="250"/>
      <c r="C17" s="250"/>
      <c r="D17" s="250"/>
      <c r="E17" s="250"/>
      <c r="F17" s="250"/>
      <c r="G17" s="250"/>
      <c r="H17" s="250"/>
      <c r="I17" s="251"/>
      <c r="J17" s="36"/>
      <c r="K17" s="239" t="s">
        <v>39</v>
      </c>
      <c r="L17" s="240"/>
      <c r="M17" s="240"/>
      <c r="N17" s="240"/>
      <c r="O17" s="240"/>
      <c r="P17" s="240"/>
      <c r="Q17" s="240"/>
      <c r="R17" s="240"/>
      <c r="S17" s="241"/>
      <c r="T17" s="36"/>
    </row>
    <row r="18" spans="1:20" ht="23.25" customHeight="1" thickBot="1" x14ac:dyDescent="0.35">
      <c r="A18" s="252"/>
      <c r="B18" s="253"/>
      <c r="C18" s="253"/>
      <c r="D18" s="253"/>
      <c r="E18" s="253"/>
      <c r="F18" s="253"/>
      <c r="G18" s="253"/>
      <c r="H18" s="253"/>
      <c r="I18" s="254"/>
      <c r="J18" s="36"/>
      <c r="K18" s="242"/>
      <c r="L18" s="243"/>
      <c r="M18" s="243"/>
      <c r="N18" s="243"/>
      <c r="O18" s="243"/>
      <c r="P18" s="243"/>
      <c r="Q18" s="243"/>
      <c r="R18" s="243"/>
      <c r="S18" s="244"/>
      <c r="T18" s="36"/>
    </row>
    <row r="19" spans="1:20" ht="10.5" customHeight="1" thickBot="1" x14ac:dyDescent="0.35">
      <c r="A19" s="48"/>
      <c r="B19" s="49"/>
      <c r="C19" s="49"/>
      <c r="D19" s="49"/>
      <c r="E19" s="49"/>
      <c r="F19" s="49"/>
      <c r="G19" s="49"/>
      <c r="H19" s="49"/>
      <c r="I19" s="50"/>
      <c r="J19" s="36"/>
      <c r="K19" s="238"/>
      <c r="L19" s="238"/>
      <c r="M19" s="238"/>
      <c r="N19" s="238"/>
      <c r="O19" s="238"/>
      <c r="P19" s="238"/>
      <c r="Q19" s="238"/>
      <c r="R19" s="238"/>
      <c r="S19" s="238"/>
      <c r="T19" s="36"/>
    </row>
    <row r="20" spans="1:20" ht="23.25" customHeight="1" x14ac:dyDescent="0.3">
      <c r="A20" s="48"/>
      <c r="B20" s="49"/>
      <c r="C20" s="49"/>
      <c r="D20" s="49"/>
      <c r="E20" s="49"/>
      <c r="F20" s="49"/>
      <c r="G20" s="49"/>
      <c r="H20" s="49"/>
      <c r="I20" s="50"/>
      <c r="J20" s="36"/>
      <c r="K20" s="239" t="s">
        <v>40</v>
      </c>
      <c r="L20" s="240"/>
      <c r="M20" s="240"/>
      <c r="N20" s="240"/>
      <c r="O20" s="240"/>
      <c r="P20" s="240"/>
      <c r="Q20" s="240"/>
      <c r="R20" s="240"/>
      <c r="S20" s="241"/>
      <c r="T20" s="36"/>
    </row>
    <row r="21" spans="1:20" ht="23.25" customHeight="1" thickBot="1" x14ac:dyDescent="0.35">
      <c r="A21" s="48"/>
      <c r="B21" s="49"/>
      <c r="C21" s="49"/>
      <c r="D21" s="49"/>
      <c r="E21" s="49"/>
      <c r="F21" s="49"/>
      <c r="G21" s="49"/>
      <c r="H21" s="49"/>
      <c r="I21" s="50"/>
      <c r="J21" s="36"/>
      <c r="K21" s="242"/>
      <c r="L21" s="243"/>
      <c r="M21" s="243"/>
      <c r="N21" s="243"/>
      <c r="O21" s="243"/>
      <c r="P21" s="243"/>
      <c r="Q21" s="243"/>
      <c r="R21" s="243"/>
      <c r="S21" s="244"/>
      <c r="T21" s="36"/>
    </row>
    <row r="22" spans="1:20" ht="23.25" customHeight="1" thickBot="1" x14ac:dyDescent="0.35">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x14ac:dyDescent="0.35">
      <c r="A23" s="43"/>
      <c r="B23" s="43"/>
      <c r="C23" s="43"/>
      <c r="D23" s="43"/>
      <c r="E23" s="43"/>
      <c r="F23" s="43"/>
      <c r="G23" s="43"/>
      <c r="H23" s="43"/>
      <c r="I23" s="43"/>
      <c r="J23" s="36"/>
      <c r="K23" s="239" t="s">
        <v>41</v>
      </c>
      <c r="L23" s="240"/>
      <c r="M23" s="240"/>
      <c r="N23" s="240"/>
      <c r="O23" s="240"/>
      <c r="P23" s="240"/>
      <c r="Q23" s="240"/>
      <c r="R23" s="240"/>
      <c r="S23" s="241"/>
      <c r="T23" s="36"/>
    </row>
    <row r="24" spans="1:20" ht="23.25" customHeight="1" x14ac:dyDescent="0.3">
      <c r="A24" s="249" t="s">
        <v>42</v>
      </c>
      <c r="B24" s="250"/>
      <c r="C24" s="250"/>
      <c r="D24" s="250"/>
      <c r="E24" s="250"/>
      <c r="F24" s="250"/>
      <c r="G24" s="250"/>
      <c r="H24" s="250"/>
      <c r="I24" s="251"/>
      <c r="J24" s="36"/>
      <c r="K24" s="245"/>
      <c r="L24" s="246"/>
      <c r="M24" s="246"/>
      <c r="N24" s="246"/>
      <c r="O24" s="246"/>
      <c r="P24" s="246"/>
      <c r="Q24" s="246"/>
      <c r="R24" s="246"/>
      <c r="S24" s="247"/>
      <c r="T24" s="36"/>
    </row>
    <row r="25" spans="1:20" ht="23.25" customHeight="1" thickBot="1" x14ac:dyDescent="0.35">
      <c r="A25" s="252"/>
      <c r="B25" s="253"/>
      <c r="C25" s="253"/>
      <c r="D25" s="253"/>
      <c r="E25" s="253"/>
      <c r="F25" s="253"/>
      <c r="G25" s="253"/>
      <c r="H25" s="253"/>
      <c r="I25" s="254"/>
      <c r="J25" s="36"/>
      <c r="K25" s="242"/>
      <c r="L25" s="243"/>
      <c r="M25" s="243"/>
      <c r="N25" s="243"/>
      <c r="O25" s="243"/>
      <c r="P25" s="243"/>
      <c r="Q25" s="243"/>
      <c r="R25" s="243"/>
      <c r="S25" s="244"/>
      <c r="T25" s="36"/>
    </row>
    <row r="26" spans="1:20" ht="10.5" customHeight="1" x14ac:dyDescent="0.3">
      <c r="A26" s="48"/>
      <c r="B26" s="49"/>
      <c r="C26" s="49"/>
      <c r="D26" s="49"/>
      <c r="E26" s="49"/>
      <c r="F26" s="49"/>
      <c r="G26" s="49"/>
      <c r="H26" s="49"/>
      <c r="I26" s="50"/>
      <c r="J26" s="36"/>
      <c r="K26" s="36"/>
      <c r="L26" s="36"/>
      <c r="M26" s="36"/>
      <c r="N26" s="36"/>
      <c r="O26" s="36"/>
      <c r="P26" s="36"/>
      <c r="Q26" s="36"/>
      <c r="R26" s="36"/>
      <c r="S26" s="36"/>
      <c r="T26" s="36"/>
    </row>
    <row r="27" spans="1:20" ht="23.25" customHeight="1" x14ac:dyDescent="0.3">
      <c r="A27" s="48"/>
      <c r="B27" s="49"/>
      <c r="C27" s="49"/>
      <c r="D27" s="49"/>
      <c r="E27" s="49"/>
      <c r="F27" s="49"/>
      <c r="G27" s="49"/>
      <c r="H27" s="49"/>
      <c r="I27" s="50"/>
      <c r="J27" s="36"/>
      <c r="K27" s="36"/>
      <c r="L27" s="36"/>
      <c r="M27" s="36"/>
      <c r="N27" s="36"/>
      <c r="O27" s="36"/>
      <c r="P27" s="36"/>
      <c r="Q27" s="36"/>
      <c r="T27" s="36"/>
    </row>
    <row r="28" spans="1:20" ht="23.25" customHeight="1" x14ac:dyDescent="0.3">
      <c r="A28" s="48"/>
      <c r="B28" s="49"/>
      <c r="C28" s="49"/>
      <c r="D28" s="49"/>
      <c r="E28" s="49"/>
      <c r="F28" s="49"/>
      <c r="G28" s="49"/>
      <c r="H28" s="49"/>
      <c r="I28" s="50"/>
      <c r="J28" s="36"/>
      <c r="K28" s="36"/>
      <c r="L28" s="36"/>
      <c r="M28" s="36"/>
      <c r="N28" s="36"/>
      <c r="O28" s="36"/>
      <c r="P28" s="36"/>
      <c r="Q28" s="36"/>
      <c r="T28" s="36"/>
    </row>
    <row r="29" spans="1:20" ht="10.5" customHeight="1" thickBot="1" x14ac:dyDescent="0.35">
      <c r="A29" s="51"/>
      <c r="B29" s="52"/>
      <c r="C29" s="52"/>
      <c r="D29" s="52"/>
      <c r="E29" s="52"/>
      <c r="F29" s="52"/>
      <c r="G29" s="52"/>
      <c r="H29" s="52"/>
      <c r="I29" s="53"/>
      <c r="J29" s="36"/>
      <c r="K29" s="36"/>
      <c r="L29" s="36"/>
      <c r="M29" s="36"/>
      <c r="N29" s="36"/>
      <c r="O29" s="36"/>
      <c r="P29" s="36"/>
      <c r="Q29" s="36"/>
      <c r="T29" s="36"/>
    </row>
    <row r="30" spans="1:20" s="36" customFormat="1" ht="23.25" customHeight="1" x14ac:dyDescent="0.3">
      <c r="R30"/>
      <c r="S30"/>
    </row>
    <row r="31" spans="1:20" ht="23.25" customHeight="1" x14ac:dyDescent="0.3">
      <c r="A31" s="36"/>
      <c r="B31" s="36"/>
      <c r="C31" s="36"/>
      <c r="D31" s="36"/>
      <c r="E31" s="36"/>
      <c r="F31" s="36"/>
      <c r="G31" s="36"/>
      <c r="H31" s="36"/>
      <c r="I31" s="36"/>
      <c r="J31" s="36"/>
      <c r="K31" s="36"/>
      <c r="L31" s="36"/>
      <c r="M31" s="36"/>
      <c r="N31" s="36"/>
      <c r="O31" s="36"/>
      <c r="P31" s="36"/>
      <c r="Q31" s="36"/>
      <c r="T31" s="36"/>
    </row>
    <row r="32" spans="1:20" ht="23.25" customHeight="1" x14ac:dyDescent="0.3">
      <c r="A32" s="36"/>
      <c r="B32" s="36"/>
      <c r="C32" s="36"/>
      <c r="D32" s="36"/>
      <c r="E32" s="36"/>
      <c r="F32" s="36"/>
      <c r="G32" s="36"/>
      <c r="H32" s="36"/>
      <c r="I32" s="36"/>
      <c r="J32" s="36"/>
      <c r="K32" s="36"/>
      <c r="L32" s="36"/>
      <c r="M32" s="36"/>
      <c r="N32" s="36"/>
      <c r="O32" s="36"/>
      <c r="P32" s="36"/>
      <c r="Q32" s="36"/>
      <c r="T32" s="36"/>
    </row>
    <row r="33" spans="1:20" hidden="1" x14ac:dyDescent="0.3">
      <c r="A33" s="36"/>
      <c r="B33" s="36"/>
      <c r="C33" s="36"/>
      <c r="D33" s="36"/>
      <c r="E33" s="36"/>
      <c r="F33" s="36"/>
      <c r="G33" s="36"/>
      <c r="H33" s="36"/>
      <c r="I33" s="36"/>
      <c r="J33" s="36"/>
      <c r="K33" s="36"/>
      <c r="L33" s="36"/>
      <c r="M33" s="36"/>
      <c r="N33" s="36"/>
      <c r="O33" s="36"/>
      <c r="P33" s="36"/>
      <c r="Q33" s="36"/>
      <c r="T33" s="36"/>
    </row>
    <row r="34" spans="1:20" hidden="1" x14ac:dyDescent="0.3">
      <c r="J34" s="36"/>
      <c r="K34" s="36"/>
      <c r="L34" s="36"/>
      <c r="M34" s="36"/>
      <c r="N34" s="36"/>
      <c r="O34" s="36"/>
      <c r="P34" s="36"/>
      <c r="Q34" s="36"/>
    </row>
    <row r="35" spans="1:20" hidden="1" x14ac:dyDescent="0.3">
      <c r="J35" s="36"/>
      <c r="K35" s="36"/>
      <c r="L35" s="36"/>
      <c r="M35" s="36"/>
      <c r="N35" s="36"/>
      <c r="O35" s="36"/>
      <c r="P35" s="36"/>
      <c r="Q35" s="36"/>
    </row>
    <row r="36" spans="1:20" hidden="1" x14ac:dyDescent="0.3">
      <c r="J36" s="36"/>
      <c r="K36" s="36"/>
      <c r="L36" s="36"/>
      <c r="M36" s="36"/>
      <c r="N36" s="36"/>
      <c r="O36" s="36"/>
      <c r="P36" s="36"/>
      <c r="Q36" s="36"/>
    </row>
    <row r="37" spans="1:20" hidden="1" x14ac:dyDescent="0.3">
      <c r="J37" s="36"/>
      <c r="K37" s="36"/>
      <c r="L37" s="36"/>
      <c r="M37" s="36"/>
      <c r="N37" s="36"/>
      <c r="O37" s="36"/>
      <c r="P37" s="36"/>
      <c r="Q37" s="36"/>
    </row>
    <row r="38" spans="1:20" hidden="1" x14ac:dyDescent="0.3">
      <c r="J38" s="36"/>
      <c r="K38" s="36"/>
      <c r="L38" s="36"/>
      <c r="M38" s="36"/>
      <c r="N38" s="36"/>
      <c r="O38" s="36"/>
      <c r="P38" s="36"/>
      <c r="Q38" s="36"/>
    </row>
    <row r="39" spans="1:20" hidden="1" x14ac:dyDescent="0.3">
      <c r="J39" s="36"/>
      <c r="K39" s="36"/>
      <c r="L39" s="36"/>
      <c r="M39" s="36"/>
      <c r="N39" s="36"/>
      <c r="O39" s="36"/>
      <c r="P39" s="36"/>
      <c r="Q39" s="36"/>
    </row>
    <row r="40" spans="1:20" hidden="1" x14ac:dyDescent="0.3">
      <c r="J40" s="36"/>
      <c r="K40" s="36"/>
      <c r="L40" s="36"/>
      <c r="M40" s="36"/>
      <c r="N40" s="36"/>
      <c r="O40" s="36"/>
      <c r="P40" s="36"/>
      <c r="Q40" s="36"/>
    </row>
    <row r="41" spans="1:20" hidden="1" x14ac:dyDescent="0.3">
      <c r="J41" s="36"/>
      <c r="K41" s="36"/>
      <c r="L41" s="36"/>
      <c r="M41" s="36"/>
      <c r="N41" s="36"/>
      <c r="O41" s="36"/>
      <c r="P41" s="36"/>
      <c r="Q41" s="36"/>
    </row>
    <row r="42" spans="1:20" hidden="1" x14ac:dyDescent="0.3">
      <c r="J42" s="36"/>
      <c r="K42" s="36"/>
      <c r="L42" s="36"/>
      <c r="M42" s="36"/>
      <c r="N42" s="36"/>
      <c r="O42" s="36"/>
      <c r="P42" s="36"/>
      <c r="Q42" s="36"/>
    </row>
    <row r="43" spans="1:20" hidden="1" x14ac:dyDescent="0.3">
      <c r="J43" s="36"/>
      <c r="K43" s="36"/>
      <c r="L43" s="36"/>
      <c r="M43" s="36"/>
      <c r="N43" s="36"/>
      <c r="O43" s="36"/>
      <c r="P43" s="36"/>
      <c r="Q43" s="36"/>
    </row>
    <row r="44" spans="1:20" hidden="1" x14ac:dyDescent="0.3">
      <c r="J44" s="36"/>
      <c r="K44" s="36"/>
      <c r="L44" s="36"/>
      <c r="M44" s="36"/>
      <c r="N44" s="36"/>
      <c r="O44" s="36"/>
      <c r="P44" s="36"/>
      <c r="Q44" s="36"/>
    </row>
    <row r="45" spans="1:20" hidden="1" x14ac:dyDescent="0.3">
      <c r="J45" s="36"/>
      <c r="K45" s="36"/>
      <c r="L45" s="36"/>
      <c r="M45" s="36"/>
      <c r="N45" s="36"/>
      <c r="O45" s="36"/>
      <c r="P45" s="36"/>
      <c r="Q45" s="36"/>
    </row>
    <row r="46" spans="1:20" hidden="1" x14ac:dyDescent="0.3">
      <c r="J46" s="36"/>
      <c r="K46" s="36"/>
      <c r="L46" s="36"/>
      <c r="M46" s="36"/>
      <c r="N46" s="36"/>
      <c r="O46" s="36"/>
      <c r="P46" s="36"/>
      <c r="Q46" s="36"/>
    </row>
    <row r="47" spans="1:20" hidden="1" x14ac:dyDescent="0.3">
      <c r="J47" s="36"/>
      <c r="K47" s="36"/>
      <c r="L47" s="36"/>
      <c r="M47" s="36"/>
      <c r="N47" s="36"/>
      <c r="O47" s="36"/>
      <c r="P47" s="36"/>
      <c r="Q47" s="36"/>
    </row>
    <row r="48" spans="1:20" hidden="1" x14ac:dyDescent="0.3">
      <c r="J48" s="36"/>
      <c r="K48" s="36"/>
      <c r="L48" s="36"/>
      <c r="M48" s="36"/>
      <c r="N48" s="36"/>
      <c r="O48" s="36"/>
      <c r="P48" s="36"/>
      <c r="Q48" s="36"/>
    </row>
    <row r="49" spans="1:17" hidden="1" x14ac:dyDescent="0.3">
      <c r="J49" s="36"/>
      <c r="K49" s="36"/>
      <c r="L49" s="36"/>
      <c r="M49" s="36"/>
      <c r="N49" s="36"/>
      <c r="O49" s="36"/>
      <c r="P49" s="36"/>
      <c r="Q49" s="36"/>
    </row>
    <row r="50" spans="1:17" hidden="1" x14ac:dyDescent="0.3">
      <c r="J50" s="36"/>
      <c r="K50" s="36"/>
      <c r="L50" s="36"/>
      <c r="M50" s="36"/>
      <c r="N50" s="36"/>
      <c r="O50" s="36"/>
      <c r="P50" s="36"/>
      <c r="Q50" s="36"/>
    </row>
    <row r="51" spans="1:17" hidden="1" x14ac:dyDescent="0.3">
      <c r="J51" s="36"/>
    </row>
    <row r="52" spans="1:17" ht="15" hidden="1" customHeight="1" x14ac:dyDescent="0.3">
      <c r="J52" s="36"/>
    </row>
    <row r="53" spans="1:17" hidden="1" x14ac:dyDescent="0.3">
      <c r="J53" s="36"/>
    </row>
    <row r="54" spans="1:17" hidden="1" x14ac:dyDescent="0.3">
      <c r="A54" s="36"/>
      <c r="B54" s="36"/>
      <c r="C54" s="36"/>
      <c r="D54" s="36"/>
      <c r="E54" s="36"/>
      <c r="F54" s="36"/>
      <c r="G54" s="36"/>
      <c r="H54" s="36"/>
      <c r="I54" s="36"/>
      <c r="J54" s="36"/>
    </row>
    <row r="55" spans="1:17" hidden="1" x14ac:dyDescent="0.3">
      <c r="A55" s="36"/>
      <c r="B55" s="36"/>
      <c r="C55" s="36"/>
      <c r="D55" s="36"/>
      <c r="E55" s="36"/>
      <c r="F55" s="36"/>
      <c r="G55" s="36"/>
      <c r="H55" s="36"/>
      <c r="I55" s="36"/>
      <c r="J55" s="36"/>
    </row>
    <row r="56" spans="1:17" hidden="1" x14ac:dyDescent="0.3">
      <c r="A56" s="36"/>
      <c r="B56" s="36"/>
      <c r="C56" s="36"/>
      <c r="D56" s="36"/>
      <c r="E56" s="36"/>
      <c r="F56" s="36"/>
      <c r="G56" s="36"/>
      <c r="H56" s="36"/>
      <c r="I56" s="36"/>
      <c r="J56" s="36"/>
    </row>
    <row r="57" spans="1:17" hidden="1" x14ac:dyDescent="0.3">
      <c r="A57" s="36"/>
      <c r="B57" s="36"/>
      <c r="C57" s="36"/>
      <c r="D57" s="36"/>
      <c r="E57" s="36"/>
      <c r="F57" s="36"/>
      <c r="G57" s="36"/>
      <c r="H57" s="36"/>
      <c r="I57" s="36"/>
      <c r="J57" s="36"/>
    </row>
  </sheetData>
  <mergeCells count="18">
    <mergeCell ref="A24:I25"/>
    <mergeCell ref="A10:I11"/>
    <mergeCell ref="A17:I18"/>
    <mergeCell ref="K19:S19"/>
    <mergeCell ref="K23:S25"/>
    <mergeCell ref="K20:S21"/>
    <mergeCell ref="K17:S18"/>
    <mergeCell ref="A1:P1"/>
    <mergeCell ref="A3:I3"/>
    <mergeCell ref="K9:S9"/>
    <mergeCell ref="K13:S13"/>
    <mergeCell ref="K16:S16"/>
    <mergeCell ref="K6:S6"/>
    <mergeCell ref="K7:S8"/>
    <mergeCell ref="K10:S12"/>
    <mergeCell ref="K14:S15"/>
    <mergeCell ref="A6:I6"/>
    <mergeCell ref="A7:I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x14ac:dyDescent="0.3"/>
  <sheetData>
    <row r="1" spans="1:4" ht="24" thickBot="1" x14ac:dyDescent="0.35">
      <c r="A1" s="255" t="s">
        <v>43</v>
      </c>
      <c r="B1" s="256"/>
      <c r="C1" s="256"/>
      <c r="D1" s="257"/>
    </row>
    <row r="2" spans="1:4" ht="18.600000000000001" thickTop="1" x14ac:dyDescent="0.3">
      <c r="A2" s="26" t="s">
        <v>19</v>
      </c>
      <c r="B2" s="27" t="s">
        <v>44</v>
      </c>
      <c r="C2" s="27"/>
      <c r="D2" s="28"/>
    </row>
    <row r="3" spans="1:4" ht="18" x14ac:dyDescent="0.3">
      <c r="A3" s="3" t="s">
        <v>17</v>
      </c>
      <c r="B3" s="4" t="s">
        <v>45</v>
      </c>
      <c r="C3" s="4"/>
      <c r="D3" s="5"/>
    </row>
    <row r="4" spans="1:4" ht="18" x14ac:dyDescent="0.3">
      <c r="A4" s="1" t="s">
        <v>21</v>
      </c>
      <c r="B4" s="2" t="s">
        <v>46</v>
      </c>
      <c r="C4" s="2"/>
      <c r="D4" s="24"/>
    </row>
    <row r="5" spans="1:4" ht="18" x14ac:dyDescent="0.3">
      <c r="A5" s="3" t="s">
        <v>47</v>
      </c>
      <c r="B5" s="4" t="s">
        <v>48</v>
      </c>
      <c r="C5" s="4"/>
      <c r="D5" s="5"/>
    </row>
    <row r="6" spans="1:4" ht="18" x14ac:dyDescent="0.3">
      <c r="A6" s="1" t="s">
        <v>22</v>
      </c>
      <c r="B6" s="2" t="s">
        <v>49</v>
      </c>
      <c r="C6" s="2"/>
      <c r="D6" s="55"/>
    </row>
    <row r="7" spans="1:4" ht="18" x14ac:dyDescent="0.3">
      <c r="A7" s="3" t="s">
        <v>50</v>
      </c>
      <c r="B7" s="4" t="s">
        <v>51</v>
      </c>
      <c r="C7" s="4"/>
      <c r="D7" s="5"/>
    </row>
    <row r="8" spans="1:4" ht="18.600000000000001" thickBot="1" x14ac:dyDescent="0.35">
      <c r="A8" s="29" t="s">
        <v>52</v>
      </c>
      <c r="B8" s="30" t="s">
        <v>53</v>
      </c>
      <c r="C8" s="30"/>
      <c r="D8" s="31"/>
    </row>
    <row r="9" spans="1:4" ht="15" thickTop="1" x14ac:dyDescent="0.3"/>
    <row r="10" spans="1:4" x14ac:dyDescent="0.3">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3912"/>
  <sheetViews>
    <sheetView zoomScale="90" zoomScaleNormal="90" workbookViewId="0">
      <pane ySplit="1" topLeftCell="A23888" activePane="bottomLeft" state="frozen"/>
      <selection pane="bottomLeft" activeCell="A23913" sqref="A23913"/>
    </sheetView>
  </sheetViews>
  <sheetFormatPr defaultColWidth="8.6640625" defaultRowHeight="14.4" x14ac:dyDescent="0.3"/>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x14ac:dyDescent="0.3">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x14ac:dyDescent="0.3">
      <c r="A2" t="s">
        <v>71</v>
      </c>
      <c r="B2" s="171" t="s">
        <v>72</v>
      </c>
      <c r="C2" s="171" t="s">
        <v>73</v>
      </c>
      <c r="D2" s="171" t="s">
        <v>4</v>
      </c>
      <c r="E2" s="11">
        <v>41000</v>
      </c>
    </row>
    <row r="3" spans="1:19" x14ac:dyDescent="0.3">
      <c r="A3" t="s">
        <v>74</v>
      </c>
      <c r="B3" s="171" t="s">
        <v>75</v>
      </c>
      <c r="C3" s="171" t="s">
        <v>76</v>
      </c>
      <c r="D3" s="171" t="s">
        <v>4</v>
      </c>
      <c r="E3" s="11">
        <v>41000</v>
      </c>
    </row>
    <row r="4" spans="1:19" x14ac:dyDescent="0.3">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x14ac:dyDescent="0.3">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x14ac:dyDescent="0.3">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x14ac:dyDescent="0.3">
      <c r="A7" t="s">
        <v>87</v>
      </c>
      <c r="B7" s="171" t="s">
        <v>88</v>
      </c>
      <c r="C7" s="171" t="s">
        <v>89</v>
      </c>
      <c r="D7" s="171" t="s">
        <v>80</v>
      </c>
      <c r="E7" s="11">
        <v>41000</v>
      </c>
      <c r="F7">
        <v>0</v>
      </c>
      <c r="G7">
        <v>0</v>
      </c>
      <c r="I7">
        <v>0</v>
      </c>
      <c r="J7">
        <v>0</v>
      </c>
      <c r="L7">
        <v>0</v>
      </c>
      <c r="M7" t="e">
        <v>#DIV/0!</v>
      </c>
      <c r="N7">
        <v>0</v>
      </c>
      <c r="O7">
        <v>0</v>
      </c>
      <c r="P7">
        <v>9</v>
      </c>
      <c r="Q7">
        <v>12</v>
      </c>
      <c r="R7">
        <v>0.75</v>
      </c>
      <c r="S7">
        <v>0</v>
      </c>
    </row>
    <row r="8" spans="1:19" x14ac:dyDescent="0.3">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x14ac:dyDescent="0.3">
      <c r="A9" t="s">
        <v>93</v>
      </c>
      <c r="B9" s="171" t="s">
        <v>94</v>
      </c>
      <c r="C9" s="171" t="s">
        <v>95</v>
      </c>
      <c r="D9" s="171" t="s">
        <v>80</v>
      </c>
      <c r="E9" s="11">
        <v>41000</v>
      </c>
      <c r="F9">
        <v>0</v>
      </c>
      <c r="G9">
        <v>0</v>
      </c>
      <c r="H9" t="e">
        <v>#DIV/0!</v>
      </c>
      <c r="I9">
        <v>0</v>
      </c>
      <c r="L9">
        <v>0</v>
      </c>
      <c r="M9" t="e">
        <v>#DIV/0!</v>
      </c>
      <c r="N9">
        <v>0</v>
      </c>
      <c r="P9">
        <v>0</v>
      </c>
      <c r="Q9">
        <v>1</v>
      </c>
      <c r="R9">
        <v>0</v>
      </c>
      <c r="S9">
        <v>0</v>
      </c>
    </row>
    <row r="10" spans="1:19" x14ac:dyDescent="0.3">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x14ac:dyDescent="0.3">
      <c r="A11" t="s">
        <v>99</v>
      </c>
      <c r="B11" s="171" t="s">
        <v>100</v>
      </c>
      <c r="C11" s="171" t="s">
        <v>101</v>
      </c>
      <c r="D11" s="171" t="s">
        <v>80</v>
      </c>
      <c r="E11" s="11">
        <v>41000</v>
      </c>
      <c r="F11">
        <v>0</v>
      </c>
      <c r="G11">
        <v>0</v>
      </c>
      <c r="H11" t="e">
        <v>#DIV/0!</v>
      </c>
      <c r="I11">
        <v>0</v>
      </c>
      <c r="L11">
        <v>0</v>
      </c>
      <c r="M11" t="e">
        <v>#DIV/0!</v>
      </c>
      <c r="N11">
        <v>0</v>
      </c>
      <c r="P11">
        <v>0</v>
      </c>
      <c r="Q11">
        <v>0</v>
      </c>
      <c r="R11" t="e">
        <v>#DIV/0!</v>
      </c>
    </row>
    <row r="12" spans="1:19" x14ac:dyDescent="0.3">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x14ac:dyDescent="0.3">
      <c r="A13" t="s">
        <v>105</v>
      </c>
      <c r="B13" s="171" t="s">
        <v>106</v>
      </c>
      <c r="C13" s="171" t="s">
        <v>107</v>
      </c>
      <c r="D13" s="171" t="s">
        <v>4</v>
      </c>
      <c r="E13" s="11">
        <v>41000</v>
      </c>
      <c r="N13">
        <v>0</v>
      </c>
      <c r="S13">
        <v>0</v>
      </c>
    </row>
    <row r="14" spans="1:19" x14ac:dyDescent="0.3">
      <c r="A14" t="s">
        <v>108</v>
      </c>
      <c r="B14" s="171" t="s">
        <v>109</v>
      </c>
      <c r="C14" s="171" t="s">
        <v>110</v>
      </c>
      <c r="D14" s="171" t="s">
        <v>80</v>
      </c>
      <c r="E14" s="11">
        <v>41000</v>
      </c>
    </row>
    <row r="15" spans="1:19" x14ac:dyDescent="0.3">
      <c r="A15" t="s">
        <v>111</v>
      </c>
      <c r="B15" s="171" t="s">
        <v>112</v>
      </c>
      <c r="C15" s="171" t="s">
        <v>113</v>
      </c>
      <c r="D15" s="171" t="s">
        <v>80</v>
      </c>
      <c r="E15" s="11">
        <v>41000</v>
      </c>
      <c r="R15" t="e">
        <v>#DIV/0!</v>
      </c>
    </row>
    <row r="16" spans="1:19" x14ac:dyDescent="0.3">
      <c r="A16" t="s">
        <v>114</v>
      </c>
      <c r="B16" s="171" t="s">
        <v>115</v>
      </c>
      <c r="C16" s="171" t="s">
        <v>116</v>
      </c>
      <c r="D16" s="171" t="s">
        <v>80</v>
      </c>
      <c r="E16" s="11">
        <v>41000</v>
      </c>
    </row>
    <row r="17" spans="1:19" x14ac:dyDescent="0.3">
      <c r="A17" t="s">
        <v>117</v>
      </c>
      <c r="B17" s="171" t="s">
        <v>118</v>
      </c>
      <c r="C17" s="171" t="s">
        <v>119</v>
      </c>
      <c r="D17" s="171" t="s">
        <v>80</v>
      </c>
      <c r="E17" s="11">
        <v>41000</v>
      </c>
    </row>
    <row r="18" spans="1:19" x14ac:dyDescent="0.3">
      <c r="A18" t="s">
        <v>120</v>
      </c>
      <c r="B18" s="171" t="s">
        <v>121</v>
      </c>
      <c r="C18" s="171" t="s">
        <v>122</v>
      </c>
      <c r="D18" s="171" t="s">
        <v>4</v>
      </c>
      <c r="E18" s="11">
        <v>41000</v>
      </c>
    </row>
    <row r="19" spans="1:19" x14ac:dyDescent="0.3">
      <c r="A19" t="s">
        <v>123</v>
      </c>
      <c r="B19" s="171" t="s">
        <v>124</v>
      </c>
      <c r="C19" s="171" t="s">
        <v>125</v>
      </c>
      <c r="D19" s="171" t="s">
        <v>4</v>
      </c>
      <c r="E19" s="11">
        <v>41000</v>
      </c>
    </row>
    <row r="20" spans="1:19" x14ac:dyDescent="0.3">
      <c r="A20" t="s">
        <v>126</v>
      </c>
      <c r="B20" s="171" t="s">
        <v>127</v>
      </c>
      <c r="C20" s="171" t="s">
        <v>128</v>
      </c>
      <c r="D20" s="171" t="s">
        <v>80</v>
      </c>
      <c r="E20" s="11">
        <v>41000</v>
      </c>
    </row>
    <row r="21" spans="1:19" x14ac:dyDescent="0.3">
      <c r="A21" t="s">
        <v>129</v>
      </c>
      <c r="B21" s="171" t="s">
        <v>130</v>
      </c>
      <c r="C21" s="171" t="s">
        <v>131</v>
      </c>
      <c r="D21" s="171" t="s">
        <v>80</v>
      </c>
      <c r="E21" s="11">
        <v>41000</v>
      </c>
    </row>
    <row r="22" spans="1:19" x14ac:dyDescent="0.3">
      <c r="A22" t="s">
        <v>132</v>
      </c>
      <c r="B22" s="171" t="s">
        <v>133</v>
      </c>
      <c r="C22" s="171" t="s">
        <v>134</v>
      </c>
      <c r="D22" s="171" t="s">
        <v>80</v>
      </c>
      <c r="E22" s="11">
        <v>41000</v>
      </c>
    </row>
    <row r="23" spans="1:19" x14ac:dyDescent="0.3">
      <c r="A23" t="s">
        <v>135</v>
      </c>
      <c r="B23" s="171" t="s">
        <v>136</v>
      </c>
      <c r="C23" s="171" t="s">
        <v>137</v>
      </c>
      <c r="D23" s="171" t="s">
        <v>4</v>
      </c>
      <c r="E23" s="11">
        <v>41000</v>
      </c>
      <c r="R23" t="e">
        <v>#DIV/0!</v>
      </c>
    </row>
    <row r="24" spans="1:19" x14ac:dyDescent="0.3">
      <c r="A24" t="s">
        <v>138</v>
      </c>
      <c r="B24" s="171" t="s">
        <v>139</v>
      </c>
      <c r="C24" s="171" t="s">
        <v>140</v>
      </c>
      <c r="D24" s="171" t="s">
        <v>80</v>
      </c>
      <c r="E24" s="11">
        <v>41000</v>
      </c>
      <c r="R24" t="e">
        <v>#DIV/0!</v>
      </c>
    </row>
    <row r="25" spans="1:19" x14ac:dyDescent="0.3">
      <c r="A25" t="s">
        <v>141</v>
      </c>
      <c r="B25" s="171" t="s">
        <v>142</v>
      </c>
      <c r="C25" s="171" t="s">
        <v>143</v>
      </c>
      <c r="D25" s="171" t="s">
        <v>80</v>
      </c>
      <c r="E25" s="11">
        <v>41000</v>
      </c>
    </row>
    <row r="26" spans="1:19" x14ac:dyDescent="0.3">
      <c r="A26" t="s">
        <v>144</v>
      </c>
      <c r="B26" s="171" t="s">
        <v>145</v>
      </c>
      <c r="C26" s="171" t="s">
        <v>146</v>
      </c>
      <c r="D26" s="171" t="s">
        <v>4</v>
      </c>
      <c r="E26" s="11">
        <v>41000</v>
      </c>
      <c r="N26">
        <v>0</v>
      </c>
      <c r="P26">
        <v>0</v>
      </c>
      <c r="Q26">
        <v>0</v>
      </c>
      <c r="R26" t="e">
        <v>#DIV/0!</v>
      </c>
      <c r="S26">
        <v>0</v>
      </c>
    </row>
    <row r="27" spans="1:19" x14ac:dyDescent="0.3">
      <c r="A27" t="s">
        <v>147</v>
      </c>
      <c r="B27" s="171" t="s">
        <v>148</v>
      </c>
      <c r="C27" s="171" t="s">
        <v>149</v>
      </c>
      <c r="D27" s="171" t="s">
        <v>80</v>
      </c>
      <c r="E27" s="11">
        <v>41000</v>
      </c>
      <c r="R27" t="e">
        <v>#DIV/0!</v>
      </c>
    </row>
    <row r="28" spans="1:19" x14ac:dyDescent="0.3">
      <c r="A28" t="s">
        <v>150</v>
      </c>
      <c r="B28" s="171" t="s">
        <v>151</v>
      </c>
      <c r="C28" s="171" t="s">
        <v>152</v>
      </c>
      <c r="D28" s="171" t="s">
        <v>80</v>
      </c>
      <c r="E28" s="11">
        <v>41000</v>
      </c>
    </row>
    <row r="29" spans="1:19" x14ac:dyDescent="0.3">
      <c r="A29" t="s">
        <v>153</v>
      </c>
      <c r="B29" s="171" t="s">
        <v>154</v>
      </c>
      <c r="C29" s="171" t="s">
        <v>155</v>
      </c>
      <c r="D29" s="171" t="s">
        <v>80</v>
      </c>
      <c r="E29" s="11">
        <v>41000</v>
      </c>
      <c r="R29" t="e">
        <v>#DIV/0!</v>
      </c>
    </row>
    <row r="30" spans="1:19" x14ac:dyDescent="0.3">
      <c r="A30" t="s">
        <v>156</v>
      </c>
      <c r="B30" s="171" t="s">
        <v>157</v>
      </c>
      <c r="C30" s="171" t="s">
        <v>158</v>
      </c>
      <c r="D30" s="171" t="s">
        <v>80</v>
      </c>
      <c r="E30" s="11">
        <v>41000</v>
      </c>
    </row>
    <row r="31" spans="1:19" x14ac:dyDescent="0.3">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x14ac:dyDescent="0.3">
      <c r="A32" t="s">
        <v>162</v>
      </c>
      <c r="B32" s="171" t="s">
        <v>163</v>
      </c>
      <c r="C32" s="171" t="s">
        <v>164</v>
      </c>
      <c r="D32" s="171" t="s">
        <v>80</v>
      </c>
      <c r="E32" s="11">
        <v>41000</v>
      </c>
    </row>
    <row r="33" spans="1:20" x14ac:dyDescent="0.3">
      <c r="A33" t="s">
        <v>165</v>
      </c>
      <c r="B33" s="171" t="s">
        <v>166</v>
      </c>
      <c r="C33" s="171" t="s">
        <v>167</v>
      </c>
      <c r="D33" s="171" t="s">
        <v>4</v>
      </c>
      <c r="E33" s="11">
        <v>41000</v>
      </c>
      <c r="R33" t="e">
        <v>#DIV/0!</v>
      </c>
    </row>
    <row r="34" spans="1:20" x14ac:dyDescent="0.3">
      <c r="A34" t="s">
        <v>168</v>
      </c>
      <c r="B34" s="171" t="s">
        <v>169</v>
      </c>
      <c r="C34" s="171" t="s">
        <v>170</v>
      </c>
      <c r="D34" s="171" t="s">
        <v>80</v>
      </c>
      <c r="E34" s="11">
        <v>41000</v>
      </c>
      <c r="R34" t="e">
        <v>#DIV/0!</v>
      </c>
    </row>
    <row r="35" spans="1:20" x14ac:dyDescent="0.3">
      <c r="A35" t="s">
        <v>171</v>
      </c>
      <c r="B35" s="171" t="s">
        <v>172</v>
      </c>
      <c r="C35" s="171" t="s">
        <v>173</v>
      </c>
      <c r="D35" s="171" t="s">
        <v>80</v>
      </c>
      <c r="E35" s="11">
        <v>41000</v>
      </c>
      <c r="P35">
        <v>0</v>
      </c>
      <c r="Q35">
        <v>1</v>
      </c>
      <c r="R35">
        <v>0</v>
      </c>
    </row>
    <row r="36" spans="1:20" x14ac:dyDescent="0.3">
      <c r="A36" t="s">
        <v>174</v>
      </c>
      <c r="B36" s="171" t="s">
        <v>175</v>
      </c>
      <c r="C36" s="171" t="s">
        <v>176</v>
      </c>
      <c r="D36" s="171" t="s">
        <v>80</v>
      </c>
      <c r="E36" s="11">
        <v>41000</v>
      </c>
      <c r="P36">
        <v>0</v>
      </c>
      <c r="Q36">
        <v>1</v>
      </c>
      <c r="R36">
        <v>0</v>
      </c>
    </row>
    <row r="37" spans="1:20" x14ac:dyDescent="0.3">
      <c r="A37" t="s">
        <v>177</v>
      </c>
      <c r="B37" s="171" t="s">
        <v>178</v>
      </c>
      <c r="C37" s="171" t="s">
        <v>179</v>
      </c>
      <c r="D37" s="171" t="s">
        <v>4</v>
      </c>
      <c r="E37" s="11">
        <v>41000</v>
      </c>
      <c r="R37" t="e">
        <v>#DIV/0!</v>
      </c>
    </row>
    <row r="38" spans="1:20" x14ac:dyDescent="0.3">
      <c r="A38" t="s">
        <v>180</v>
      </c>
      <c r="B38" s="171" t="s">
        <v>181</v>
      </c>
      <c r="C38" s="171" t="s">
        <v>182</v>
      </c>
      <c r="D38" s="171" t="s">
        <v>80</v>
      </c>
      <c r="E38" s="11">
        <v>41000</v>
      </c>
      <c r="R38" t="e">
        <v>#DIV/0!</v>
      </c>
    </row>
    <row r="39" spans="1:20" x14ac:dyDescent="0.3">
      <c r="A39" t="s">
        <v>183</v>
      </c>
      <c r="B39" s="171" t="s">
        <v>184</v>
      </c>
      <c r="C39" s="171" t="s">
        <v>185</v>
      </c>
      <c r="D39" s="171" t="s">
        <v>4</v>
      </c>
      <c r="E39" s="11">
        <v>41000</v>
      </c>
      <c r="R39" t="e">
        <v>#DIV/0!</v>
      </c>
    </row>
    <row r="40" spans="1:20" x14ac:dyDescent="0.3">
      <c r="A40" t="s">
        <v>186</v>
      </c>
      <c r="B40" s="171" t="s">
        <v>187</v>
      </c>
      <c r="C40" s="171" t="s">
        <v>188</v>
      </c>
      <c r="D40" s="171" t="s">
        <v>80</v>
      </c>
      <c r="E40" s="11">
        <v>41000</v>
      </c>
      <c r="R40" t="e">
        <v>#DIV/0!</v>
      </c>
    </row>
    <row r="41" spans="1:20" x14ac:dyDescent="0.3">
      <c r="A41" t="s">
        <v>189</v>
      </c>
      <c r="B41" s="171" t="s">
        <v>190</v>
      </c>
      <c r="C41" s="171" t="s">
        <v>191</v>
      </c>
      <c r="D41" s="171" t="s">
        <v>4</v>
      </c>
      <c r="E41" s="11">
        <v>41000</v>
      </c>
    </row>
    <row r="42" spans="1:20" x14ac:dyDescent="0.3">
      <c r="A42" t="s">
        <v>192</v>
      </c>
      <c r="B42" s="171" t="s">
        <v>193</v>
      </c>
      <c r="C42" s="171" t="s">
        <v>194</v>
      </c>
      <c r="D42" s="171" t="s">
        <v>80</v>
      </c>
      <c r="E42" s="11">
        <v>41000</v>
      </c>
    </row>
    <row r="43" spans="1:20" x14ac:dyDescent="0.3">
      <c r="A43" t="s">
        <v>195</v>
      </c>
      <c r="B43" s="171" t="s">
        <v>196</v>
      </c>
      <c r="C43" s="171" t="s">
        <v>197</v>
      </c>
      <c r="D43" s="171" t="s">
        <v>80</v>
      </c>
      <c r="E43" s="11">
        <v>41000</v>
      </c>
    </row>
    <row r="44" spans="1:20" x14ac:dyDescent="0.3">
      <c r="A44" t="s">
        <v>198</v>
      </c>
      <c r="B44" s="171" t="s">
        <v>199</v>
      </c>
      <c r="C44" s="171" t="s">
        <v>200</v>
      </c>
      <c r="D44" s="171" t="s">
        <v>80</v>
      </c>
      <c r="E44" s="11">
        <v>41000</v>
      </c>
    </row>
    <row r="45" spans="1:20" x14ac:dyDescent="0.3">
      <c r="A45" t="s">
        <v>201</v>
      </c>
      <c r="B45" s="171" t="s">
        <v>202</v>
      </c>
      <c r="C45" s="171" t="s">
        <v>203</v>
      </c>
      <c r="D45" s="171" t="s">
        <v>80</v>
      </c>
      <c r="E45" s="11">
        <v>41000</v>
      </c>
      <c r="R45" t="e">
        <v>#DIV/0!</v>
      </c>
    </row>
    <row r="46" spans="1:20" x14ac:dyDescent="0.3">
      <c r="A46" t="s">
        <v>204</v>
      </c>
      <c r="B46" s="171" t="s">
        <v>205</v>
      </c>
      <c r="C46" s="171" t="s">
        <v>206</v>
      </c>
      <c r="D46" s="171" t="s">
        <v>80</v>
      </c>
      <c r="E46" s="11">
        <v>41000</v>
      </c>
    </row>
    <row r="47" spans="1:20" x14ac:dyDescent="0.3">
      <c r="A47" t="s">
        <v>207</v>
      </c>
      <c r="B47" s="171" t="s">
        <v>208</v>
      </c>
      <c r="C47" s="171" t="s">
        <v>209</v>
      </c>
      <c r="D47" s="171" t="s">
        <v>80</v>
      </c>
      <c r="E47" s="11">
        <v>41000</v>
      </c>
    </row>
    <row r="48" spans="1:20" x14ac:dyDescent="0.3">
      <c r="A48" t="s">
        <v>210</v>
      </c>
      <c r="B48" s="171" t="s">
        <v>211</v>
      </c>
      <c r="C48" s="171" t="s">
        <v>212</v>
      </c>
      <c r="D48" s="171" t="s">
        <v>4</v>
      </c>
      <c r="E48" s="11">
        <v>41000</v>
      </c>
      <c r="T48">
        <v>0</v>
      </c>
    </row>
    <row r="49" spans="1:20" x14ac:dyDescent="0.3">
      <c r="A49" t="s">
        <v>213</v>
      </c>
      <c r="B49" s="171" t="s">
        <v>214</v>
      </c>
      <c r="C49" s="171" t="s">
        <v>215</v>
      </c>
      <c r="D49" s="171" t="s">
        <v>4</v>
      </c>
      <c r="E49" s="11">
        <v>41000</v>
      </c>
      <c r="R49" t="e">
        <v>#DIV/0!</v>
      </c>
      <c r="T49" t="e">
        <v>#DIV/0!</v>
      </c>
    </row>
    <row r="50" spans="1:20" x14ac:dyDescent="0.3">
      <c r="A50" t="s">
        <v>216</v>
      </c>
      <c r="B50" s="171" t="s">
        <v>217</v>
      </c>
      <c r="C50" s="171" t="s">
        <v>218</v>
      </c>
      <c r="D50" s="171" t="s">
        <v>80</v>
      </c>
      <c r="E50" s="11">
        <v>41000</v>
      </c>
      <c r="R50" t="e">
        <v>#DIV/0!</v>
      </c>
      <c r="T50">
        <v>0</v>
      </c>
    </row>
    <row r="51" spans="1:20" x14ac:dyDescent="0.3">
      <c r="A51" t="s">
        <v>219</v>
      </c>
      <c r="B51" s="171" t="s">
        <v>220</v>
      </c>
      <c r="C51" s="171" t="s">
        <v>221</v>
      </c>
      <c r="D51" s="171" t="s">
        <v>4</v>
      </c>
      <c r="E51" s="11">
        <v>41000</v>
      </c>
      <c r="R51" t="e">
        <v>#DIV/0!</v>
      </c>
      <c r="T51">
        <v>0</v>
      </c>
    </row>
    <row r="52" spans="1:20" x14ac:dyDescent="0.3">
      <c r="A52" t="s">
        <v>222</v>
      </c>
      <c r="B52" s="171" t="s">
        <v>223</v>
      </c>
      <c r="C52" s="171" t="s">
        <v>224</v>
      </c>
      <c r="D52" s="171" t="s">
        <v>80</v>
      </c>
      <c r="E52" s="11">
        <v>41000</v>
      </c>
      <c r="T52">
        <v>0</v>
      </c>
    </row>
    <row r="53" spans="1:20" x14ac:dyDescent="0.3">
      <c r="A53" t="s">
        <v>225</v>
      </c>
      <c r="B53" s="171" t="s">
        <v>226</v>
      </c>
      <c r="C53" s="171" t="s">
        <v>227</v>
      </c>
      <c r="D53" s="171" t="s">
        <v>80</v>
      </c>
      <c r="E53" s="11">
        <v>41000</v>
      </c>
      <c r="R53" t="e">
        <v>#DIV/0!</v>
      </c>
      <c r="T53">
        <v>0</v>
      </c>
    </row>
    <row r="54" spans="1:20" x14ac:dyDescent="0.3">
      <c r="A54" t="s">
        <v>228</v>
      </c>
      <c r="B54" s="171" t="s">
        <v>229</v>
      </c>
      <c r="C54" s="171" t="s">
        <v>230</v>
      </c>
      <c r="D54" s="171" t="s">
        <v>80</v>
      </c>
      <c r="E54" s="11">
        <v>41000</v>
      </c>
      <c r="T54">
        <v>0</v>
      </c>
    </row>
    <row r="55" spans="1:20" x14ac:dyDescent="0.3">
      <c r="A55" t="s">
        <v>231</v>
      </c>
      <c r="B55" s="171" t="s">
        <v>232</v>
      </c>
      <c r="C55" s="171" t="s">
        <v>233</v>
      </c>
      <c r="D55" s="171" t="s">
        <v>4</v>
      </c>
      <c r="E55" s="11">
        <v>41000</v>
      </c>
      <c r="P55">
        <v>9</v>
      </c>
      <c r="Q55">
        <v>12</v>
      </c>
      <c r="R55">
        <v>0.75</v>
      </c>
      <c r="T55">
        <v>0</v>
      </c>
    </row>
    <row r="56" spans="1:20" x14ac:dyDescent="0.3">
      <c r="A56" t="s">
        <v>234</v>
      </c>
      <c r="B56" s="171" t="s">
        <v>235</v>
      </c>
      <c r="C56" s="171" t="s">
        <v>236</v>
      </c>
      <c r="D56" s="171" t="s">
        <v>80</v>
      </c>
      <c r="E56" s="11">
        <v>41000</v>
      </c>
      <c r="P56">
        <v>9</v>
      </c>
      <c r="Q56">
        <v>12</v>
      </c>
      <c r="R56">
        <v>0.75</v>
      </c>
      <c r="T56" t="e">
        <v>#DIV/0!</v>
      </c>
    </row>
    <row r="57" spans="1:20" x14ac:dyDescent="0.3">
      <c r="A57" t="s">
        <v>237</v>
      </c>
      <c r="B57" s="171" t="s">
        <v>238</v>
      </c>
      <c r="C57" s="171" t="s">
        <v>239</v>
      </c>
      <c r="D57" s="171" t="s">
        <v>80</v>
      </c>
      <c r="E57" s="11">
        <v>41000</v>
      </c>
    </row>
    <row r="58" spans="1:20" x14ac:dyDescent="0.3">
      <c r="A58" t="s">
        <v>240</v>
      </c>
      <c r="B58" s="171" t="s">
        <v>241</v>
      </c>
      <c r="C58" s="171" t="s">
        <v>76</v>
      </c>
      <c r="D58" s="171" t="s">
        <v>80</v>
      </c>
      <c r="E58" s="11">
        <v>41000</v>
      </c>
    </row>
    <row r="59" spans="1:20" x14ac:dyDescent="0.3">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x14ac:dyDescent="0.3">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x14ac:dyDescent="0.3">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x14ac:dyDescent="0.3">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x14ac:dyDescent="0.3">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x14ac:dyDescent="0.3">
      <c r="A64" t="s">
        <v>250</v>
      </c>
      <c r="B64" s="171" t="s">
        <v>251</v>
      </c>
      <c r="C64" s="171" t="s">
        <v>101</v>
      </c>
      <c r="D64" s="171" t="s">
        <v>4</v>
      </c>
      <c r="E64" s="11">
        <v>41000</v>
      </c>
      <c r="F64">
        <v>0</v>
      </c>
      <c r="G64">
        <v>0</v>
      </c>
      <c r="H64" t="e">
        <v>#DIV/0!</v>
      </c>
      <c r="I64">
        <v>0</v>
      </c>
      <c r="L64">
        <v>0</v>
      </c>
      <c r="M64" t="e">
        <v>#DIV/0!</v>
      </c>
      <c r="N64">
        <v>0</v>
      </c>
      <c r="P64">
        <v>0</v>
      </c>
      <c r="Q64">
        <v>0</v>
      </c>
      <c r="R64" t="e">
        <v>#DIV/0!</v>
      </c>
    </row>
    <row r="65" spans="1:19" x14ac:dyDescent="0.3">
      <c r="A65" t="s">
        <v>252</v>
      </c>
      <c r="B65" s="171" t="s">
        <v>253</v>
      </c>
      <c r="C65" s="171" t="s">
        <v>107</v>
      </c>
      <c r="D65" s="171" t="s">
        <v>80</v>
      </c>
      <c r="E65" s="11">
        <v>41000</v>
      </c>
      <c r="N65">
        <v>0</v>
      </c>
      <c r="S65">
        <v>0</v>
      </c>
    </row>
    <row r="66" spans="1:19" x14ac:dyDescent="0.3">
      <c r="A66" t="s">
        <v>254</v>
      </c>
      <c r="B66" s="171" t="s">
        <v>255</v>
      </c>
      <c r="C66" s="171" t="s">
        <v>110</v>
      </c>
      <c r="D66" s="171" t="s">
        <v>4</v>
      </c>
      <c r="E66" s="11">
        <v>41000</v>
      </c>
    </row>
    <row r="67" spans="1:19" x14ac:dyDescent="0.3">
      <c r="A67" t="s">
        <v>256</v>
      </c>
      <c r="B67" s="171" t="s">
        <v>257</v>
      </c>
      <c r="C67" s="171" t="s">
        <v>113</v>
      </c>
      <c r="D67" s="171" t="s">
        <v>4</v>
      </c>
      <c r="E67" s="11">
        <v>41000</v>
      </c>
      <c r="R67" t="e">
        <v>#DIV/0!</v>
      </c>
    </row>
    <row r="68" spans="1:19" x14ac:dyDescent="0.3">
      <c r="A68" t="s">
        <v>258</v>
      </c>
      <c r="B68" s="171" t="s">
        <v>259</v>
      </c>
      <c r="C68" s="171" t="s">
        <v>116</v>
      </c>
      <c r="D68" s="171" t="s">
        <v>4</v>
      </c>
      <c r="E68" s="11">
        <v>41000</v>
      </c>
    </row>
    <row r="69" spans="1:19" x14ac:dyDescent="0.3">
      <c r="A69" t="s">
        <v>260</v>
      </c>
      <c r="B69" s="171" t="s">
        <v>261</v>
      </c>
      <c r="C69" s="171" t="s">
        <v>119</v>
      </c>
      <c r="D69" s="171" t="s">
        <v>4</v>
      </c>
      <c r="E69" s="11">
        <v>41000</v>
      </c>
    </row>
    <row r="70" spans="1:19" x14ac:dyDescent="0.3">
      <c r="A70" t="s">
        <v>262</v>
      </c>
      <c r="B70" s="171" t="s">
        <v>263</v>
      </c>
      <c r="C70" s="171" t="s">
        <v>122</v>
      </c>
      <c r="D70" s="171" t="s">
        <v>80</v>
      </c>
      <c r="E70" s="11">
        <v>41000</v>
      </c>
    </row>
    <row r="71" spans="1:19" x14ac:dyDescent="0.3">
      <c r="A71" t="s">
        <v>264</v>
      </c>
      <c r="B71" s="171" t="s">
        <v>265</v>
      </c>
      <c r="C71" s="171" t="s">
        <v>125</v>
      </c>
      <c r="D71" s="171" t="s">
        <v>80</v>
      </c>
      <c r="E71" s="11">
        <v>41000</v>
      </c>
    </row>
    <row r="72" spans="1:19" x14ac:dyDescent="0.3">
      <c r="A72" t="s">
        <v>266</v>
      </c>
      <c r="B72" s="171" t="s">
        <v>267</v>
      </c>
      <c r="C72" s="171" t="s">
        <v>128</v>
      </c>
      <c r="D72" s="171" t="s">
        <v>4</v>
      </c>
      <c r="E72" s="11">
        <v>41000</v>
      </c>
    </row>
    <row r="73" spans="1:19" x14ac:dyDescent="0.3">
      <c r="A73" t="s">
        <v>268</v>
      </c>
      <c r="B73" s="171" t="s">
        <v>269</v>
      </c>
      <c r="C73" s="171" t="s">
        <v>131</v>
      </c>
      <c r="D73" s="171" t="s">
        <v>4</v>
      </c>
      <c r="E73" s="11">
        <v>41000</v>
      </c>
    </row>
    <row r="74" spans="1:19" x14ac:dyDescent="0.3">
      <c r="A74" t="s">
        <v>270</v>
      </c>
      <c r="B74" s="171" t="s">
        <v>271</v>
      </c>
      <c r="C74" s="171" t="s">
        <v>134</v>
      </c>
      <c r="D74" s="171" t="s">
        <v>4</v>
      </c>
      <c r="E74" s="11">
        <v>41000</v>
      </c>
    </row>
    <row r="75" spans="1:19" x14ac:dyDescent="0.3">
      <c r="A75" t="s">
        <v>272</v>
      </c>
      <c r="B75" s="171" t="s">
        <v>273</v>
      </c>
      <c r="C75" s="171" t="s">
        <v>137</v>
      </c>
      <c r="D75" s="171" t="s">
        <v>80</v>
      </c>
      <c r="E75" s="11">
        <v>41000</v>
      </c>
      <c r="R75" t="e">
        <v>#DIV/0!</v>
      </c>
    </row>
    <row r="76" spans="1:19" x14ac:dyDescent="0.3">
      <c r="A76" t="s">
        <v>274</v>
      </c>
      <c r="B76" s="171" t="s">
        <v>275</v>
      </c>
      <c r="C76" s="171" t="s">
        <v>140</v>
      </c>
      <c r="D76" s="171" t="s">
        <v>4</v>
      </c>
      <c r="E76" s="11">
        <v>41000</v>
      </c>
      <c r="R76" t="e">
        <v>#DIV/0!</v>
      </c>
    </row>
    <row r="77" spans="1:19" x14ac:dyDescent="0.3">
      <c r="A77" t="s">
        <v>276</v>
      </c>
      <c r="B77" s="171" t="s">
        <v>277</v>
      </c>
      <c r="C77" s="171" t="s">
        <v>167</v>
      </c>
      <c r="D77" s="171" t="s">
        <v>80</v>
      </c>
      <c r="E77" s="11">
        <v>41000</v>
      </c>
      <c r="R77" t="e">
        <v>#DIV/0!</v>
      </c>
    </row>
    <row r="78" spans="1:19" x14ac:dyDescent="0.3">
      <c r="A78" t="s">
        <v>278</v>
      </c>
      <c r="B78" s="171" t="s">
        <v>279</v>
      </c>
      <c r="C78" s="171" t="s">
        <v>170</v>
      </c>
      <c r="D78" s="171" t="s">
        <v>4</v>
      </c>
      <c r="E78" s="11">
        <v>41000</v>
      </c>
      <c r="R78" t="e">
        <v>#DIV/0!</v>
      </c>
    </row>
    <row r="79" spans="1:19" x14ac:dyDescent="0.3">
      <c r="A79" t="s">
        <v>280</v>
      </c>
      <c r="B79" s="171" t="s">
        <v>281</v>
      </c>
      <c r="C79" s="171" t="s">
        <v>179</v>
      </c>
      <c r="D79" s="171" t="s">
        <v>80</v>
      </c>
      <c r="E79" s="11">
        <v>41000</v>
      </c>
      <c r="R79" t="e">
        <v>#DIV/0!</v>
      </c>
    </row>
    <row r="80" spans="1:19" x14ac:dyDescent="0.3">
      <c r="A80" t="s">
        <v>282</v>
      </c>
      <c r="B80" s="171" t="s">
        <v>283</v>
      </c>
      <c r="C80" s="171" t="s">
        <v>182</v>
      </c>
      <c r="D80" s="171" t="s">
        <v>4</v>
      </c>
      <c r="E80" s="11">
        <v>41000</v>
      </c>
      <c r="R80" t="e">
        <v>#DIV/0!</v>
      </c>
    </row>
    <row r="81" spans="1:19" x14ac:dyDescent="0.3">
      <c r="A81" t="s">
        <v>284</v>
      </c>
      <c r="B81" s="171" t="s">
        <v>285</v>
      </c>
      <c r="C81" s="171" t="s">
        <v>185</v>
      </c>
      <c r="D81" s="171" t="s">
        <v>80</v>
      </c>
      <c r="E81" s="11">
        <v>41000</v>
      </c>
      <c r="R81" t="e">
        <v>#DIV/0!</v>
      </c>
    </row>
    <row r="82" spans="1:19" x14ac:dyDescent="0.3">
      <c r="A82" t="s">
        <v>286</v>
      </c>
      <c r="B82" s="171" t="s">
        <v>287</v>
      </c>
      <c r="C82" s="171" t="s">
        <v>188</v>
      </c>
      <c r="D82" s="171" t="s">
        <v>4</v>
      </c>
      <c r="E82" s="11">
        <v>41000</v>
      </c>
      <c r="R82" t="e">
        <v>#DIV/0!</v>
      </c>
    </row>
    <row r="83" spans="1:19" x14ac:dyDescent="0.3">
      <c r="A83" t="s">
        <v>288</v>
      </c>
      <c r="B83" s="171" t="s">
        <v>289</v>
      </c>
      <c r="C83" s="171" t="s">
        <v>191</v>
      </c>
      <c r="D83" s="171" t="s">
        <v>80</v>
      </c>
      <c r="E83" s="11">
        <v>41000</v>
      </c>
    </row>
    <row r="84" spans="1:19" x14ac:dyDescent="0.3">
      <c r="A84" t="s">
        <v>290</v>
      </c>
      <c r="B84" s="171" t="s">
        <v>291</v>
      </c>
      <c r="C84" s="171" t="s">
        <v>194</v>
      </c>
      <c r="D84" s="171" t="s">
        <v>4</v>
      </c>
      <c r="E84" s="11">
        <v>41000</v>
      </c>
    </row>
    <row r="85" spans="1:19" x14ac:dyDescent="0.3">
      <c r="A85" t="s">
        <v>292</v>
      </c>
      <c r="B85" s="171" t="s">
        <v>293</v>
      </c>
      <c r="C85" s="171" t="s">
        <v>197</v>
      </c>
      <c r="D85" s="171" t="s">
        <v>4</v>
      </c>
      <c r="E85" s="11">
        <v>41000</v>
      </c>
    </row>
    <row r="86" spans="1:19" x14ac:dyDescent="0.3">
      <c r="A86" t="s">
        <v>294</v>
      </c>
      <c r="B86" s="171" t="s">
        <v>295</v>
      </c>
      <c r="C86" s="171" t="s">
        <v>209</v>
      </c>
      <c r="D86" s="171" t="s">
        <v>4</v>
      </c>
      <c r="E86" s="11">
        <v>41000</v>
      </c>
    </row>
    <row r="87" spans="1:19" x14ac:dyDescent="0.3">
      <c r="A87" t="s">
        <v>296</v>
      </c>
      <c r="B87" s="171" t="s">
        <v>297</v>
      </c>
      <c r="C87" s="171" t="s">
        <v>212</v>
      </c>
      <c r="D87" s="171" t="s">
        <v>80</v>
      </c>
      <c r="E87" s="11">
        <v>41000</v>
      </c>
    </row>
    <row r="88" spans="1:19" x14ac:dyDescent="0.3">
      <c r="A88" t="s">
        <v>298</v>
      </c>
      <c r="B88" s="171" t="s">
        <v>299</v>
      </c>
      <c r="C88" s="171" t="s">
        <v>215</v>
      </c>
      <c r="D88" s="171" t="s">
        <v>80</v>
      </c>
      <c r="E88" s="11">
        <v>41000</v>
      </c>
      <c r="R88" t="e">
        <v>#DIV/0!</v>
      </c>
    </row>
    <row r="89" spans="1:19" x14ac:dyDescent="0.3">
      <c r="A89" t="s">
        <v>300</v>
      </c>
      <c r="B89" s="171" t="s">
        <v>301</v>
      </c>
      <c r="C89" s="171" t="s">
        <v>218</v>
      </c>
      <c r="D89" s="171" t="s">
        <v>4</v>
      </c>
      <c r="E89" s="11">
        <v>41000</v>
      </c>
      <c r="R89" t="e">
        <v>#DIV/0!</v>
      </c>
    </row>
    <row r="90" spans="1:19" x14ac:dyDescent="0.3">
      <c r="A90" t="s">
        <v>302</v>
      </c>
      <c r="B90" s="171" t="s">
        <v>303</v>
      </c>
      <c r="C90" s="171" t="s">
        <v>233</v>
      </c>
      <c r="D90" s="171" t="s">
        <v>80</v>
      </c>
      <c r="E90" s="11">
        <v>41000</v>
      </c>
      <c r="P90">
        <v>9</v>
      </c>
      <c r="Q90">
        <v>12</v>
      </c>
      <c r="R90">
        <v>0.75</v>
      </c>
    </row>
    <row r="91" spans="1:19" x14ac:dyDescent="0.3">
      <c r="A91" t="s">
        <v>304</v>
      </c>
      <c r="B91" s="171" t="s">
        <v>305</v>
      </c>
      <c r="C91" s="171" t="s">
        <v>236</v>
      </c>
      <c r="D91" s="171" t="s">
        <v>4</v>
      </c>
      <c r="E91" s="11">
        <v>41000</v>
      </c>
      <c r="P91">
        <v>9</v>
      </c>
      <c r="Q91">
        <v>12</v>
      </c>
      <c r="R91">
        <v>0.75</v>
      </c>
    </row>
    <row r="92" spans="1:19" x14ac:dyDescent="0.3">
      <c r="A92" t="s">
        <v>306</v>
      </c>
      <c r="B92" s="171" t="s">
        <v>307</v>
      </c>
      <c r="C92" s="171" t="s">
        <v>239</v>
      </c>
      <c r="D92" s="171" t="s">
        <v>4</v>
      </c>
      <c r="E92" s="11">
        <v>41000</v>
      </c>
    </row>
    <row r="93" spans="1:19" x14ac:dyDescent="0.3">
      <c r="A93" t="s">
        <v>308</v>
      </c>
      <c r="B93" s="171" t="s">
        <v>309</v>
      </c>
      <c r="C93" s="171" t="s">
        <v>143</v>
      </c>
      <c r="D93" s="171" t="s">
        <v>4</v>
      </c>
      <c r="E93" s="11">
        <v>41000</v>
      </c>
    </row>
    <row r="94" spans="1:19" x14ac:dyDescent="0.3">
      <c r="A94" t="s">
        <v>310</v>
      </c>
      <c r="B94" s="171" t="s">
        <v>311</v>
      </c>
      <c r="C94" s="171" t="s">
        <v>146</v>
      </c>
      <c r="D94" s="171" t="s">
        <v>80</v>
      </c>
      <c r="E94" s="11">
        <v>41000</v>
      </c>
      <c r="N94">
        <v>0</v>
      </c>
      <c r="P94">
        <v>0</v>
      </c>
      <c r="Q94">
        <v>0</v>
      </c>
      <c r="R94" t="e">
        <v>#DIV/0!</v>
      </c>
      <c r="S94">
        <v>0</v>
      </c>
    </row>
    <row r="95" spans="1:19" x14ac:dyDescent="0.3">
      <c r="A95" t="s">
        <v>312</v>
      </c>
      <c r="B95" s="171" t="s">
        <v>313</v>
      </c>
      <c r="C95" s="171" t="s">
        <v>149</v>
      </c>
      <c r="D95" s="171" t="s">
        <v>4</v>
      </c>
      <c r="E95" s="11">
        <v>41000</v>
      </c>
      <c r="R95" t="e">
        <v>#DIV/0!</v>
      </c>
    </row>
    <row r="96" spans="1:19" x14ac:dyDescent="0.3">
      <c r="A96" t="s">
        <v>314</v>
      </c>
      <c r="B96" s="171" t="s">
        <v>315</v>
      </c>
      <c r="C96" s="171" t="s">
        <v>152</v>
      </c>
      <c r="D96" s="171" t="s">
        <v>4</v>
      </c>
      <c r="E96" s="11">
        <v>41000</v>
      </c>
    </row>
    <row r="97" spans="1:20" x14ac:dyDescent="0.3">
      <c r="A97" t="s">
        <v>316</v>
      </c>
      <c r="B97" s="171" t="s">
        <v>317</v>
      </c>
      <c r="C97" s="171" t="s">
        <v>155</v>
      </c>
      <c r="D97" s="171" t="s">
        <v>4</v>
      </c>
      <c r="E97" s="11">
        <v>41000</v>
      </c>
      <c r="R97" t="e">
        <v>#DIV/0!</v>
      </c>
    </row>
    <row r="98" spans="1:20" x14ac:dyDescent="0.3">
      <c r="A98" t="s">
        <v>318</v>
      </c>
      <c r="B98" s="171" t="s">
        <v>319</v>
      </c>
      <c r="C98" s="171" t="s">
        <v>158</v>
      </c>
      <c r="D98" s="171" t="s">
        <v>4</v>
      </c>
      <c r="E98" s="11">
        <v>41000</v>
      </c>
    </row>
    <row r="99" spans="1:20" x14ac:dyDescent="0.3">
      <c r="A99" t="s">
        <v>320</v>
      </c>
      <c r="B99" s="171" t="s">
        <v>321</v>
      </c>
      <c r="C99" s="171" t="s">
        <v>164</v>
      </c>
      <c r="D99" s="171" t="s">
        <v>4</v>
      </c>
      <c r="E99" s="11">
        <v>41000</v>
      </c>
    </row>
    <row r="100" spans="1:20" x14ac:dyDescent="0.3">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x14ac:dyDescent="0.3">
      <c r="A101" t="s">
        <v>324</v>
      </c>
      <c r="B101" s="171" t="s">
        <v>325</v>
      </c>
      <c r="C101" s="171" t="s">
        <v>221</v>
      </c>
      <c r="D101" s="171" t="s">
        <v>80</v>
      </c>
      <c r="E101" s="11">
        <v>41000</v>
      </c>
      <c r="R101" t="e">
        <v>#DIV/0!</v>
      </c>
    </row>
    <row r="102" spans="1:20" x14ac:dyDescent="0.3">
      <c r="A102" t="s">
        <v>326</v>
      </c>
      <c r="B102" s="171" t="s">
        <v>327</v>
      </c>
      <c r="C102" s="171" t="s">
        <v>224</v>
      </c>
      <c r="D102" s="171" t="s">
        <v>4</v>
      </c>
      <c r="E102" s="11">
        <v>41000</v>
      </c>
    </row>
    <row r="103" spans="1:20" x14ac:dyDescent="0.3">
      <c r="A103" t="s">
        <v>328</v>
      </c>
      <c r="B103" s="171" t="s">
        <v>329</v>
      </c>
      <c r="C103" s="171" t="s">
        <v>227</v>
      </c>
      <c r="D103" s="171" t="s">
        <v>4</v>
      </c>
      <c r="E103" s="11">
        <v>41000</v>
      </c>
      <c r="R103" t="e">
        <v>#DIV/0!</v>
      </c>
    </row>
    <row r="104" spans="1:20" x14ac:dyDescent="0.3">
      <c r="A104" t="s">
        <v>330</v>
      </c>
      <c r="B104" s="171" t="s">
        <v>331</v>
      </c>
      <c r="C104" s="171" t="s">
        <v>230</v>
      </c>
      <c r="D104" s="171" t="s">
        <v>4</v>
      </c>
      <c r="E104" s="11">
        <v>41000</v>
      </c>
      <c r="T104">
        <v>0</v>
      </c>
    </row>
    <row r="105" spans="1:20" x14ac:dyDescent="0.3">
      <c r="A105" t="s">
        <v>332</v>
      </c>
      <c r="B105" s="171" t="s">
        <v>333</v>
      </c>
      <c r="C105" s="171" t="s">
        <v>73</v>
      </c>
      <c r="D105" s="171" t="s">
        <v>4</v>
      </c>
      <c r="E105" s="11">
        <v>41030</v>
      </c>
      <c r="T105" t="e">
        <v>#DIV/0!</v>
      </c>
    </row>
    <row r="106" spans="1:20" x14ac:dyDescent="0.3">
      <c r="A106" t="s">
        <v>334</v>
      </c>
      <c r="B106" s="171" t="s">
        <v>335</v>
      </c>
      <c r="C106" s="171" t="s">
        <v>76</v>
      </c>
      <c r="D106" s="171" t="s">
        <v>4</v>
      </c>
      <c r="E106" s="11">
        <v>41030</v>
      </c>
      <c r="T106">
        <v>0</v>
      </c>
    </row>
    <row r="107" spans="1:20" x14ac:dyDescent="0.3">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x14ac:dyDescent="0.3">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x14ac:dyDescent="0.3">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x14ac:dyDescent="0.3">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x14ac:dyDescent="0.3">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x14ac:dyDescent="0.3">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x14ac:dyDescent="0.3">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x14ac:dyDescent="0.3">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x14ac:dyDescent="0.3">
      <c r="A116" t="s">
        <v>354</v>
      </c>
      <c r="B116" s="171" t="s">
        <v>355</v>
      </c>
      <c r="C116" s="171" t="s">
        <v>107</v>
      </c>
      <c r="D116" s="171" t="s">
        <v>4</v>
      </c>
      <c r="E116" s="11">
        <v>41030</v>
      </c>
      <c r="N116">
        <v>0</v>
      </c>
      <c r="P116">
        <v>1</v>
      </c>
      <c r="Q116">
        <v>1</v>
      </c>
      <c r="R116">
        <v>1</v>
      </c>
      <c r="S116">
        <v>0</v>
      </c>
    </row>
    <row r="117" spans="1:19" x14ac:dyDescent="0.3">
      <c r="A117" t="s">
        <v>356</v>
      </c>
      <c r="B117" s="171" t="s">
        <v>357</v>
      </c>
      <c r="C117" s="171" t="s">
        <v>110</v>
      </c>
      <c r="D117" s="171" t="s">
        <v>80</v>
      </c>
      <c r="E117" s="11">
        <v>41030</v>
      </c>
      <c r="P117">
        <v>1</v>
      </c>
      <c r="Q117">
        <v>1</v>
      </c>
      <c r="R117">
        <v>1</v>
      </c>
    </row>
    <row r="118" spans="1:19" x14ac:dyDescent="0.3">
      <c r="A118" t="s">
        <v>358</v>
      </c>
      <c r="B118" s="171" t="s">
        <v>359</v>
      </c>
      <c r="C118" s="171" t="s">
        <v>113</v>
      </c>
      <c r="D118" s="171" t="s">
        <v>80</v>
      </c>
      <c r="E118" s="11">
        <v>41030</v>
      </c>
      <c r="R118" t="e">
        <v>#DIV/0!</v>
      </c>
    </row>
    <row r="119" spans="1:19" x14ac:dyDescent="0.3">
      <c r="A119" t="s">
        <v>360</v>
      </c>
      <c r="B119" s="171" t="s">
        <v>361</v>
      </c>
      <c r="C119" s="171" t="s">
        <v>116</v>
      </c>
      <c r="D119" s="171" t="s">
        <v>80</v>
      </c>
      <c r="E119" s="11">
        <v>41030</v>
      </c>
      <c r="R119" t="e">
        <v>#DIV/0!</v>
      </c>
    </row>
    <row r="120" spans="1:19" x14ac:dyDescent="0.3">
      <c r="A120" t="s">
        <v>362</v>
      </c>
      <c r="B120" s="171" t="s">
        <v>363</v>
      </c>
      <c r="C120" s="171" t="s">
        <v>119</v>
      </c>
      <c r="D120" s="171" t="s">
        <v>80</v>
      </c>
      <c r="E120" s="11">
        <v>41030</v>
      </c>
    </row>
    <row r="121" spans="1:19" x14ac:dyDescent="0.3">
      <c r="A121" t="s">
        <v>364</v>
      </c>
      <c r="B121" s="171" t="s">
        <v>365</v>
      </c>
      <c r="C121" s="171" t="s">
        <v>122</v>
      </c>
      <c r="D121" s="171" t="s">
        <v>4</v>
      </c>
      <c r="E121" s="11">
        <v>41030</v>
      </c>
    </row>
    <row r="122" spans="1:19" x14ac:dyDescent="0.3">
      <c r="A122" t="s">
        <v>366</v>
      </c>
      <c r="B122" s="171" t="s">
        <v>367</v>
      </c>
      <c r="C122" s="171" t="s">
        <v>125</v>
      </c>
      <c r="D122" s="171" t="s">
        <v>4</v>
      </c>
      <c r="E122" s="11">
        <v>41030</v>
      </c>
    </row>
    <row r="123" spans="1:19" x14ac:dyDescent="0.3">
      <c r="A123" t="s">
        <v>368</v>
      </c>
      <c r="B123" s="171" t="s">
        <v>369</v>
      </c>
      <c r="C123" s="171" t="s">
        <v>128</v>
      </c>
      <c r="D123" s="171" t="s">
        <v>80</v>
      </c>
      <c r="E123" s="11">
        <v>41030</v>
      </c>
    </row>
    <row r="124" spans="1:19" x14ac:dyDescent="0.3">
      <c r="A124" t="s">
        <v>370</v>
      </c>
      <c r="B124" s="171" t="s">
        <v>371</v>
      </c>
      <c r="C124" s="171" t="s">
        <v>131</v>
      </c>
      <c r="D124" s="171" t="s">
        <v>80</v>
      </c>
      <c r="E124" s="11">
        <v>41030</v>
      </c>
    </row>
    <row r="125" spans="1:19" x14ac:dyDescent="0.3">
      <c r="A125" t="s">
        <v>372</v>
      </c>
      <c r="B125" s="171" t="s">
        <v>373</v>
      </c>
      <c r="C125" s="171" t="s">
        <v>134</v>
      </c>
      <c r="D125" s="171" t="s">
        <v>80</v>
      </c>
      <c r="E125" s="11">
        <v>41030</v>
      </c>
    </row>
    <row r="126" spans="1:19" x14ac:dyDescent="0.3">
      <c r="A126" t="s">
        <v>374</v>
      </c>
      <c r="B126" s="171" t="s">
        <v>375</v>
      </c>
      <c r="C126" s="171" t="s">
        <v>137</v>
      </c>
      <c r="D126" s="171" t="s">
        <v>4</v>
      </c>
      <c r="E126" s="11">
        <v>41030</v>
      </c>
      <c r="R126" t="e">
        <v>#DIV/0!</v>
      </c>
    </row>
    <row r="127" spans="1:19" x14ac:dyDescent="0.3">
      <c r="A127" t="s">
        <v>376</v>
      </c>
      <c r="B127" s="171" t="s">
        <v>377</v>
      </c>
      <c r="C127" s="171" t="s">
        <v>140</v>
      </c>
      <c r="D127" s="171" t="s">
        <v>80</v>
      </c>
      <c r="E127" s="11">
        <v>41030</v>
      </c>
      <c r="R127" t="e">
        <v>#DIV/0!</v>
      </c>
    </row>
    <row r="128" spans="1:19" x14ac:dyDescent="0.3">
      <c r="A128" t="s">
        <v>378</v>
      </c>
      <c r="B128" s="171" t="s">
        <v>379</v>
      </c>
      <c r="C128" s="171" t="s">
        <v>143</v>
      </c>
      <c r="D128" s="171" t="s">
        <v>80</v>
      </c>
      <c r="E128" s="11">
        <v>41030</v>
      </c>
    </row>
    <row r="129" spans="1:19" x14ac:dyDescent="0.3">
      <c r="A129" t="s">
        <v>380</v>
      </c>
      <c r="B129" s="171" t="s">
        <v>381</v>
      </c>
      <c r="C129" s="171" t="s">
        <v>146</v>
      </c>
      <c r="D129" s="171" t="s">
        <v>4</v>
      </c>
      <c r="E129" s="11">
        <v>41030</v>
      </c>
      <c r="N129">
        <v>0</v>
      </c>
      <c r="P129">
        <v>0</v>
      </c>
      <c r="Q129">
        <v>0</v>
      </c>
      <c r="R129" t="e">
        <v>#DIV/0!</v>
      </c>
      <c r="S129">
        <v>0</v>
      </c>
    </row>
    <row r="130" spans="1:19" x14ac:dyDescent="0.3">
      <c r="A130" t="s">
        <v>382</v>
      </c>
      <c r="B130" s="171" t="s">
        <v>383</v>
      </c>
      <c r="C130" s="171" t="s">
        <v>149</v>
      </c>
      <c r="D130" s="171" t="s">
        <v>80</v>
      </c>
      <c r="E130" s="11">
        <v>41030</v>
      </c>
      <c r="R130" t="e">
        <v>#DIV/0!</v>
      </c>
    </row>
    <row r="131" spans="1:19" x14ac:dyDescent="0.3">
      <c r="A131" t="s">
        <v>384</v>
      </c>
      <c r="B131" s="171" t="s">
        <v>385</v>
      </c>
      <c r="C131" s="171" t="s">
        <v>152</v>
      </c>
      <c r="D131" s="171" t="s">
        <v>80</v>
      </c>
      <c r="E131" s="11">
        <v>41030</v>
      </c>
    </row>
    <row r="132" spans="1:19" x14ac:dyDescent="0.3">
      <c r="A132" t="s">
        <v>386</v>
      </c>
      <c r="B132" s="171" t="s">
        <v>387</v>
      </c>
      <c r="C132" s="171" t="s">
        <v>155</v>
      </c>
      <c r="D132" s="171" t="s">
        <v>80</v>
      </c>
      <c r="E132" s="11">
        <v>41030</v>
      </c>
      <c r="R132" t="e">
        <v>#DIV/0!</v>
      </c>
    </row>
    <row r="133" spans="1:19" x14ac:dyDescent="0.3">
      <c r="A133" t="s">
        <v>388</v>
      </c>
      <c r="B133" s="171" t="s">
        <v>389</v>
      </c>
      <c r="C133" s="171" t="s">
        <v>158</v>
      </c>
      <c r="D133" s="171" t="s">
        <v>80</v>
      </c>
      <c r="E133" s="11">
        <v>41030</v>
      </c>
    </row>
    <row r="134" spans="1:19" x14ac:dyDescent="0.3">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x14ac:dyDescent="0.3">
      <c r="A135" t="s">
        <v>392</v>
      </c>
      <c r="B135" s="171" t="s">
        <v>393</v>
      </c>
      <c r="C135" s="171" t="s">
        <v>164</v>
      </c>
      <c r="D135" s="171" t="s">
        <v>80</v>
      </c>
      <c r="E135" s="11">
        <v>41030</v>
      </c>
    </row>
    <row r="136" spans="1:19" x14ac:dyDescent="0.3">
      <c r="A136" t="s">
        <v>394</v>
      </c>
      <c r="B136" s="171" t="s">
        <v>395</v>
      </c>
      <c r="C136" s="171" t="s">
        <v>167</v>
      </c>
      <c r="D136" s="171" t="s">
        <v>4</v>
      </c>
      <c r="E136" s="11">
        <v>41030</v>
      </c>
      <c r="R136" t="e">
        <v>#DIV/0!</v>
      </c>
    </row>
    <row r="137" spans="1:19" x14ac:dyDescent="0.3">
      <c r="A137" t="s">
        <v>396</v>
      </c>
      <c r="B137" s="171" t="s">
        <v>397</v>
      </c>
      <c r="C137" s="171" t="s">
        <v>170</v>
      </c>
      <c r="D137" s="171" t="s">
        <v>80</v>
      </c>
      <c r="E137" s="11">
        <v>41030</v>
      </c>
      <c r="R137" t="e">
        <v>#DIV/0!</v>
      </c>
    </row>
    <row r="138" spans="1:19" x14ac:dyDescent="0.3">
      <c r="A138" t="s">
        <v>398</v>
      </c>
      <c r="B138" s="171" t="s">
        <v>399</v>
      </c>
      <c r="C138" s="171" t="s">
        <v>173</v>
      </c>
      <c r="D138" s="171" t="s">
        <v>80</v>
      </c>
      <c r="E138" s="11">
        <v>41030</v>
      </c>
      <c r="P138">
        <v>0</v>
      </c>
      <c r="Q138">
        <v>0</v>
      </c>
      <c r="R138" t="e">
        <v>#DIV/0!</v>
      </c>
    </row>
    <row r="139" spans="1:19" x14ac:dyDescent="0.3">
      <c r="A139" t="s">
        <v>400</v>
      </c>
      <c r="B139" s="171" t="s">
        <v>401</v>
      </c>
      <c r="C139" s="171" t="s">
        <v>176</v>
      </c>
      <c r="D139" s="171" t="s">
        <v>80</v>
      </c>
      <c r="E139" s="11">
        <v>41030</v>
      </c>
      <c r="P139">
        <v>0</v>
      </c>
      <c r="Q139">
        <v>0</v>
      </c>
      <c r="R139" t="e">
        <v>#DIV/0!</v>
      </c>
    </row>
    <row r="140" spans="1:19" x14ac:dyDescent="0.3">
      <c r="A140" t="s">
        <v>402</v>
      </c>
      <c r="B140" s="171" t="s">
        <v>403</v>
      </c>
      <c r="C140" s="171" t="s">
        <v>179</v>
      </c>
      <c r="D140" s="171" t="s">
        <v>4</v>
      </c>
      <c r="E140" s="11">
        <v>41030</v>
      </c>
      <c r="R140" t="e">
        <v>#DIV/0!</v>
      </c>
    </row>
    <row r="141" spans="1:19" x14ac:dyDescent="0.3">
      <c r="A141" t="s">
        <v>404</v>
      </c>
      <c r="B141" s="171" t="s">
        <v>405</v>
      </c>
      <c r="C141" s="171" t="s">
        <v>182</v>
      </c>
      <c r="D141" s="171" t="s">
        <v>80</v>
      </c>
      <c r="E141" s="11">
        <v>41030</v>
      </c>
      <c r="R141" t="e">
        <v>#DIV/0!</v>
      </c>
    </row>
    <row r="142" spans="1:19" x14ac:dyDescent="0.3">
      <c r="A142" t="s">
        <v>406</v>
      </c>
      <c r="B142" s="171" t="s">
        <v>407</v>
      </c>
      <c r="C142" s="171" t="s">
        <v>185</v>
      </c>
      <c r="D142" s="171" t="s">
        <v>4</v>
      </c>
      <c r="E142" s="11">
        <v>41030</v>
      </c>
      <c r="R142" t="e">
        <v>#DIV/0!</v>
      </c>
    </row>
    <row r="143" spans="1:19" x14ac:dyDescent="0.3">
      <c r="A143" t="s">
        <v>408</v>
      </c>
      <c r="B143" s="171" t="s">
        <v>409</v>
      </c>
      <c r="C143" s="171" t="s">
        <v>188</v>
      </c>
      <c r="D143" s="171" t="s">
        <v>80</v>
      </c>
      <c r="E143" s="11">
        <v>41030</v>
      </c>
      <c r="R143" t="e">
        <v>#DIV/0!</v>
      </c>
    </row>
    <row r="144" spans="1:19" x14ac:dyDescent="0.3">
      <c r="A144" t="s">
        <v>410</v>
      </c>
      <c r="B144" s="171" t="s">
        <v>411</v>
      </c>
      <c r="C144" s="171" t="s">
        <v>191</v>
      </c>
      <c r="D144" s="171" t="s">
        <v>4</v>
      </c>
      <c r="E144" s="11">
        <v>41030</v>
      </c>
    </row>
    <row r="145" spans="1:20" x14ac:dyDescent="0.3">
      <c r="A145" t="s">
        <v>412</v>
      </c>
      <c r="B145" s="171" t="s">
        <v>413</v>
      </c>
      <c r="C145" s="171" t="s">
        <v>194</v>
      </c>
      <c r="D145" s="171" t="s">
        <v>80</v>
      </c>
      <c r="E145" s="11">
        <v>41030</v>
      </c>
    </row>
    <row r="146" spans="1:20" x14ac:dyDescent="0.3">
      <c r="A146" t="s">
        <v>414</v>
      </c>
      <c r="B146" s="171" t="s">
        <v>415</v>
      </c>
      <c r="C146" s="171" t="s">
        <v>197</v>
      </c>
      <c r="D146" s="171" t="s">
        <v>80</v>
      </c>
      <c r="E146" s="11">
        <v>41030</v>
      </c>
    </row>
    <row r="147" spans="1:20" x14ac:dyDescent="0.3">
      <c r="A147" t="s">
        <v>416</v>
      </c>
      <c r="B147" s="171" t="s">
        <v>417</v>
      </c>
      <c r="C147" s="171" t="s">
        <v>200</v>
      </c>
      <c r="D147" s="171" t="s">
        <v>80</v>
      </c>
      <c r="E147" s="11">
        <v>41030</v>
      </c>
    </row>
    <row r="148" spans="1:20" x14ac:dyDescent="0.3">
      <c r="A148" t="s">
        <v>418</v>
      </c>
      <c r="B148" s="171" t="s">
        <v>419</v>
      </c>
      <c r="C148" s="171" t="s">
        <v>203</v>
      </c>
      <c r="D148" s="171" t="s">
        <v>80</v>
      </c>
      <c r="E148" s="11">
        <v>41030</v>
      </c>
      <c r="R148" t="e">
        <v>#DIV/0!</v>
      </c>
    </row>
    <row r="149" spans="1:20" x14ac:dyDescent="0.3">
      <c r="A149" t="s">
        <v>420</v>
      </c>
      <c r="B149" s="171" t="s">
        <v>421</v>
      </c>
      <c r="C149" s="171" t="s">
        <v>206</v>
      </c>
      <c r="D149" s="171" t="s">
        <v>80</v>
      </c>
      <c r="E149" s="11">
        <v>41030</v>
      </c>
    </row>
    <row r="150" spans="1:20" x14ac:dyDescent="0.3">
      <c r="A150" t="s">
        <v>422</v>
      </c>
      <c r="B150" s="171" t="s">
        <v>423</v>
      </c>
      <c r="C150" s="171" t="s">
        <v>209</v>
      </c>
      <c r="D150" s="171" t="s">
        <v>80</v>
      </c>
      <c r="E150" s="11">
        <v>41030</v>
      </c>
    </row>
    <row r="151" spans="1:20" x14ac:dyDescent="0.3">
      <c r="A151" t="s">
        <v>424</v>
      </c>
      <c r="B151" s="171" t="s">
        <v>425</v>
      </c>
      <c r="C151" s="171" t="s">
        <v>212</v>
      </c>
      <c r="D151" s="171" t="s">
        <v>4</v>
      </c>
      <c r="E151" s="11">
        <v>41030</v>
      </c>
    </row>
    <row r="152" spans="1:20" x14ac:dyDescent="0.3">
      <c r="A152" t="s">
        <v>426</v>
      </c>
      <c r="B152" s="171" t="s">
        <v>427</v>
      </c>
      <c r="C152" s="171" t="s">
        <v>215</v>
      </c>
      <c r="D152" s="171" t="s">
        <v>4</v>
      </c>
      <c r="E152" s="11">
        <v>41030</v>
      </c>
      <c r="R152" t="e">
        <v>#DIV/0!</v>
      </c>
    </row>
    <row r="153" spans="1:20" x14ac:dyDescent="0.3">
      <c r="A153" t="s">
        <v>428</v>
      </c>
      <c r="B153" s="171" t="s">
        <v>429</v>
      </c>
      <c r="C153" s="171" t="s">
        <v>218</v>
      </c>
      <c r="D153" s="171" t="s">
        <v>80</v>
      </c>
      <c r="E153" s="11">
        <v>41030</v>
      </c>
      <c r="R153" t="e">
        <v>#DIV/0!</v>
      </c>
    </row>
    <row r="154" spans="1:20" x14ac:dyDescent="0.3">
      <c r="A154" t="s">
        <v>430</v>
      </c>
      <c r="B154" s="171" t="s">
        <v>431</v>
      </c>
      <c r="C154" s="171" t="s">
        <v>221</v>
      </c>
      <c r="D154" s="171" t="s">
        <v>4</v>
      </c>
      <c r="E154" s="11">
        <v>41030</v>
      </c>
      <c r="R154" t="e">
        <v>#DIV/0!</v>
      </c>
    </row>
    <row r="155" spans="1:20" x14ac:dyDescent="0.3">
      <c r="A155" t="s">
        <v>432</v>
      </c>
      <c r="B155" s="171" t="s">
        <v>433</v>
      </c>
      <c r="C155" s="171" t="s">
        <v>224</v>
      </c>
      <c r="D155" s="171" t="s">
        <v>80</v>
      </c>
      <c r="E155" s="11">
        <v>41030</v>
      </c>
    </row>
    <row r="156" spans="1:20" x14ac:dyDescent="0.3">
      <c r="A156" t="s">
        <v>434</v>
      </c>
      <c r="B156" s="171" t="s">
        <v>435</v>
      </c>
      <c r="C156" s="171" t="s">
        <v>227</v>
      </c>
      <c r="D156" s="171" t="s">
        <v>80</v>
      </c>
      <c r="E156" s="11">
        <v>41030</v>
      </c>
      <c r="R156" t="e">
        <v>#DIV/0!</v>
      </c>
    </row>
    <row r="157" spans="1:20" x14ac:dyDescent="0.3">
      <c r="A157" t="s">
        <v>436</v>
      </c>
      <c r="B157" s="171" t="s">
        <v>437</v>
      </c>
      <c r="C157" s="171" t="s">
        <v>230</v>
      </c>
      <c r="D157" s="171" t="s">
        <v>80</v>
      </c>
      <c r="E157" s="11">
        <v>41030</v>
      </c>
    </row>
    <row r="158" spans="1:20" x14ac:dyDescent="0.3">
      <c r="A158" t="s">
        <v>438</v>
      </c>
      <c r="B158" s="171" t="s">
        <v>439</v>
      </c>
      <c r="C158" s="171" t="s">
        <v>233</v>
      </c>
      <c r="D158" s="171" t="s">
        <v>4</v>
      </c>
      <c r="E158" s="11">
        <v>41030</v>
      </c>
      <c r="P158">
        <v>6</v>
      </c>
      <c r="Q158">
        <v>6</v>
      </c>
      <c r="R158">
        <v>1</v>
      </c>
    </row>
    <row r="159" spans="1:20" x14ac:dyDescent="0.3">
      <c r="A159" t="s">
        <v>440</v>
      </c>
      <c r="B159" s="171" t="s">
        <v>441</v>
      </c>
      <c r="C159" s="171" t="s">
        <v>236</v>
      </c>
      <c r="D159" s="171" t="s">
        <v>80</v>
      </c>
      <c r="E159" s="11">
        <v>41030</v>
      </c>
      <c r="P159">
        <v>5</v>
      </c>
      <c r="Q159">
        <v>5</v>
      </c>
      <c r="R159">
        <v>1</v>
      </c>
    </row>
    <row r="160" spans="1:20" x14ac:dyDescent="0.3">
      <c r="A160" t="s">
        <v>442</v>
      </c>
      <c r="B160" s="171" t="s">
        <v>443</v>
      </c>
      <c r="C160" s="171" t="s">
        <v>239</v>
      </c>
      <c r="D160" s="171" t="s">
        <v>80</v>
      </c>
      <c r="E160" s="11">
        <v>41030</v>
      </c>
      <c r="P160">
        <v>1</v>
      </c>
      <c r="Q160">
        <v>1</v>
      </c>
      <c r="R160">
        <v>1</v>
      </c>
      <c r="T160">
        <v>0</v>
      </c>
    </row>
    <row r="161" spans="1:20" x14ac:dyDescent="0.3">
      <c r="A161" t="s">
        <v>444</v>
      </c>
      <c r="B161" s="171" t="s">
        <v>445</v>
      </c>
      <c r="C161" s="171" t="s">
        <v>76</v>
      </c>
      <c r="D161" s="171" t="s">
        <v>80</v>
      </c>
      <c r="E161" s="11">
        <v>41030</v>
      </c>
      <c r="T161" t="e">
        <v>#DIV/0!</v>
      </c>
    </row>
    <row r="162" spans="1:20" x14ac:dyDescent="0.3">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x14ac:dyDescent="0.3">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x14ac:dyDescent="0.3">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x14ac:dyDescent="0.3">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x14ac:dyDescent="0.3">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x14ac:dyDescent="0.3">
      <c r="A168" t="s">
        <v>458</v>
      </c>
      <c r="B168" s="171" t="s">
        <v>459</v>
      </c>
      <c r="C168" s="171" t="s">
        <v>107</v>
      </c>
      <c r="D168" s="171" t="s">
        <v>80</v>
      </c>
      <c r="E168" s="11">
        <v>41030</v>
      </c>
      <c r="N168">
        <v>0</v>
      </c>
      <c r="P168">
        <v>1</v>
      </c>
      <c r="Q168">
        <v>1</v>
      </c>
      <c r="R168">
        <v>1</v>
      </c>
      <c r="S168">
        <v>0</v>
      </c>
      <c r="T168" t="e">
        <v>#DIV/0!</v>
      </c>
    </row>
    <row r="169" spans="1:20" x14ac:dyDescent="0.3">
      <c r="A169" t="s">
        <v>460</v>
      </c>
      <c r="B169" s="171" t="s">
        <v>461</v>
      </c>
      <c r="C169" s="171" t="s">
        <v>110</v>
      </c>
      <c r="D169" s="171" t="s">
        <v>4</v>
      </c>
      <c r="E169" s="11">
        <v>41030</v>
      </c>
      <c r="P169">
        <v>1</v>
      </c>
      <c r="Q169">
        <v>1</v>
      </c>
      <c r="R169">
        <v>1</v>
      </c>
    </row>
    <row r="170" spans="1:20" x14ac:dyDescent="0.3">
      <c r="A170" t="s">
        <v>462</v>
      </c>
      <c r="B170" s="171" t="s">
        <v>463</v>
      </c>
      <c r="C170" s="171" t="s">
        <v>113</v>
      </c>
      <c r="D170" s="171" t="s">
        <v>4</v>
      </c>
      <c r="E170" s="11">
        <v>41030</v>
      </c>
      <c r="R170" t="e">
        <v>#DIV/0!</v>
      </c>
    </row>
    <row r="171" spans="1:20" x14ac:dyDescent="0.3">
      <c r="A171" t="s">
        <v>464</v>
      </c>
      <c r="B171" s="171" t="s">
        <v>465</v>
      </c>
      <c r="C171" s="171" t="s">
        <v>116</v>
      </c>
      <c r="D171" s="171" t="s">
        <v>4</v>
      </c>
      <c r="E171" s="11">
        <v>41030</v>
      </c>
      <c r="R171" t="e">
        <v>#DIV/0!</v>
      </c>
    </row>
    <row r="172" spans="1:20" x14ac:dyDescent="0.3">
      <c r="A172" t="s">
        <v>466</v>
      </c>
      <c r="B172" s="171" t="s">
        <v>467</v>
      </c>
      <c r="C172" s="171" t="s">
        <v>119</v>
      </c>
      <c r="D172" s="171" t="s">
        <v>4</v>
      </c>
      <c r="E172" s="11">
        <v>41030</v>
      </c>
    </row>
    <row r="173" spans="1:20" x14ac:dyDescent="0.3">
      <c r="A173" t="s">
        <v>468</v>
      </c>
      <c r="B173" s="171" t="s">
        <v>469</v>
      </c>
      <c r="C173" s="171" t="s">
        <v>122</v>
      </c>
      <c r="D173" s="171" t="s">
        <v>80</v>
      </c>
      <c r="E173" s="11">
        <v>41030</v>
      </c>
    </row>
    <row r="174" spans="1:20" x14ac:dyDescent="0.3">
      <c r="A174" t="s">
        <v>470</v>
      </c>
      <c r="B174" s="171" t="s">
        <v>471</v>
      </c>
      <c r="C174" s="171" t="s">
        <v>125</v>
      </c>
      <c r="D174" s="171" t="s">
        <v>80</v>
      </c>
      <c r="E174" s="11">
        <v>41030</v>
      </c>
    </row>
    <row r="175" spans="1:20" x14ac:dyDescent="0.3">
      <c r="A175" t="s">
        <v>472</v>
      </c>
      <c r="B175" s="171" t="s">
        <v>473</v>
      </c>
      <c r="C175" s="171" t="s">
        <v>128</v>
      </c>
      <c r="D175" s="171" t="s">
        <v>4</v>
      </c>
      <c r="E175" s="11">
        <v>41030</v>
      </c>
    </row>
    <row r="176" spans="1:20" x14ac:dyDescent="0.3">
      <c r="A176" t="s">
        <v>474</v>
      </c>
      <c r="B176" s="171" t="s">
        <v>475</v>
      </c>
      <c r="C176" s="171" t="s">
        <v>131</v>
      </c>
      <c r="D176" s="171" t="s">
        <v>4</v>
      </c>
      <c r="E176" s="11">
        <v>41030</v>
      </c>
    </row>
    <row r="177" spans="1:18" x14ac:dyDescent="0.3">
      <c r="A177" t="s">
        <v>476</v>
      </c>
      <c r="B177" s="171" t="s">
        <v>477</v>
      </c>
      <c r="C177" s="171" t="s">
        <v>134</v>
      </c>
      <c r="D177" s="171" t="s">
        <v>4</v>
      </c>
      <c r="E177" s="11">
        <v>41030</v>
      </c>
    </row>
    <row r="178" spans="1:18" x14ac:dyDescent="0.3">
      <c r="A178" t="s">
        <v>478</v>
      </c>
      <c r="B178" s="171" t="s">
        <v>479</v>
      </c>
      <c r="C178" s="171" t="s">
        <v>137</v>
      </c>
      <c r="D178" s="171" t="s">
        <v>80</v>
      </c>
      <c r="E178" s="11">
        <v>41030</v>
      </c>
      <c r="R178" t="e">
        <v>#DIV/0!</v>
      </c>
    </row>
    <row r="179" spans="1:18" x14ac:dyDescent="0.3">
      <c r="A179" t="s">
        <v>480</v>
      </c>
      <c r="B179" s="171" t="s">
        <v>481</v>
      </c>
      <c r="C179" s="171" t="s">
        <v>140</v>
      </c>
      <c r="D179" s="171" t="s">
        <v>4</v>
      </c>
      <c r="E179" s="11">
        <v>41030</v>
      </c>
      <c r="R179" t="e">
        <v>#DIV/0!</v>
      </c>
    </row>
    <row r="180" spans="1:18" x14ac:dyDescent="0.3">
      <c r="A180" t="s">
        <v>482</v>
      </c>
      <c r="B180" s="171" t="s">
        <v>483</v>
      </c>
      <c r="C180" s="171" t="s">
        <v>167</v>
      </c>
      <c r="D180" s="171" t="s">
        <v>80</v>
      </c>
      <c r="E180" s="11">
        <v>41030</v>
      </c>
      <c r="R180" t="e">
        <v>#DIV/0!</v>
      </c>
    </row>
    <row r="181" spans="1:18" x14ac:dyDescent="0.3">
      <c r="A181" t="s">
        <v>484</v>
      </c>
      <c r="B181" s="171" t="s">
        <v>485</v>
      </c>
      <c r="C181" s="171" t="s">
        <v>170</v>
      </c>
      <c r="D181" s="171" t="s">
        <v>4</v>
      </c>
      <c r="E181" s="11">
        <v>41030</v>
      </c>
      <c r="R181" t="e">
        <v>#DIV/0!</v>
      </c>
    </row>
    <row r="182" spans="1:18" x14ac:dyDescent="0.3">
      <c r="A182" t="s">
        <v>486</v>
      </c>
      <c r="B182" s="171" t="s">
        <v>487</v>
      </c>
      <c r="C182" s="171" t="s">
        <v>179</v>
      </c>
      <c r="D182" s="171" t="s">
        <v>80</v>
      </c>
      <c r="E182" s="11">
        <v>41030</v>
      </c>
      <c r="R182" t="e">
        <v>#DIV/0!</v>
      </c>
    </row>
    <row r="183" spans="1:18" x14ac:dyDescent="0.3">
      <c r="A183" t="s">
        <v>488</v>
      </c>
      <c r="B183" s="171" t="s">
        <v>489</v>
      </c>
      <c r="C183" s="171" t="s">
        <v>182</v>
      </c>
      <c r="D183" s="171" t="s">
        <v>4</v>
      </c>
      <c r="E183" s="11">
        <v>41030</v>
      </c>
      <c r="R183" t="e">
        <v>#DIV/0!</v>
      </c>
    </row>
    <row r="184" spans="1:18" x14ac:dyDescent="0.3">
      <c r="A184" t="s">
        <v>490</v>
      </c>
      <c r="B184" s="171" t="s">
        <v>491</v>
      </c>
      <c r="C184" s="171" t="s">
        <v>185</v>
      </c>
      <c r="D184" s="171" t="s">
        <v>80</v>
      </c>
      <c r="E184" s="11">
        <v>41030</v>
      </c>
      <c r="R184" t="e">
        <v>#DIV/0!</v>
      </c>
    </row>
    <row r="185" spans="1:18" x14ac:dyDescent="0.3">
      <c r="A185" t="s">
        <v>492</v>
      </c>
      <c r="B185" s="171" t="s">
        <v>493</v>
      </c>
      <c r="C185" s="171" t="s">
        <v>188</v>
      </c>
      <c r="D185" s="171" t="s">
        <v>4</v>
      </c>
      <c r="E185" s="11">
        <v>41030</v>
      </c>
      <c r="R185" t="e">
        <v>#DIV/0!</v>
      </c>
    </row>
    <row r="186" spans="1:18" x14ac:dyDescent="0.3">
      <c r="A186" t="s">
        <v>494</v>
      </c>
      <c r="B186" s="171" t="s">
        <v>495</v>
      </c>
      <c r="C186" s="171" t="s">
        <v>191</v>
      </c>
      <c r="D186" s="171" t="s">
        <v>80</v>
      </c>
      <c r="E186" s="11">
        <v>41030</v>
      </c>
    </row>
    <row r="187" spans="1:18" x14ac:dyDescent="0.3">
      <c r="A187" t="s">
        <v>496</v>
      </c>
      <c r="B187" s="171" t="s">
        <v>497</v>
      </c>
      <c r="C187" s="171" t="s">
        <v>194</v>
      </c>
      <c r="D187" s="171" t="s">
        <v>4</v>
      </c>
      <c r="E187" s="11">
        <v>41030</v>
      </c>
    </row>
    <row r="188" spans="1:18" x14ac:dyDescent="0.3">
      <c r="A188" t="s">
        <v>498</v>
      </c>
      <c r="B188" s="171" t="s">
        <v>499</v>
      </c>
      <c r="C188" s="171" t="s">
        <v>197</v>
      </c>
      <c r="D188" s="171" t="s">
        <v>4</v>
      </c>
      <c r="E188" s="11">
        <v>41030</v>
      </c>
    </row>
    <row r="189" spans="1:18" x14ac:dyDescent="0.3">
      <c r="A189" t="s">
        <v>500</v>
      </c>
      <c r="B189" s="171" t="s">
        <v>501</v>
      </c>
      <c r="C189" s="171" t="s">
        <v>209</v>
      </c>
      <c r="D189" s="171" t="s">
        <v>4</v>
      </c>
      <c r="E189" s="11">
        <v>41030</v>
      </c>
    </row>
    <row r="190" spans="1:18" x14ac:dyDescent="0.3">
      <c r="A190" t="s">
        <v>502</v>
      </c>
      <c r="B190" s="171" t="s">
        <v>503</v>
      </c>
      <c r="C190" s="171" t="s">
        <v>212</v>
      </c>
      <c r="D190" s="171" t="s">
        <v>80</v>
      </c>
      <c r="E190" s="11">
        <v>41030</v>
      </c>
    </row>
    <row r="191" spans="1:18" x14ac:dyDescent="0.3">
      <c r="A191" t="s">
        <v>504</v>
      </c>
      <c r="B191" s="171" t="s">
        <v>505</v>
      </c>
      <c r="C191" s="171" t="s">
        <v>215</v>
      </c>
      <c r="D191" s="171" t="s">
        <v>80</v>
      </c>
      <c r="E191" s="11">
        <v>41030</v>
      </c>
      <c r="R191" t="e">
        <v>#DIV/0!</v>
      </c>
    </row>
    <row r="192" spans="1:18" x14ac:dyDescent="0.3">
      <c r="A192" t="s">
        <v>506</v>
      </c>
      <c r="B192" s="171" t="s">
        <v>507</v>
      </c>
      <c r="C192" s="171" t="s">
        <v>218</v>
      </c>
      <c r="D192" s="171" t="s">
        <v>4</v>
      </c>
      <c r="E192" s="11">
        <v>41030</v>
      </c>
      <c r="R192" t="e">
        <v>#DIV/0!</v>
      </c>
    </row>
    <row r="193" spans="1:19" x14ac:dyDescent="0.3">
      <c r="A193" t="s">
        <v>508</v>
      </c>
      <c r="B193" s="171" t="s">
        <v>509</v>
      </c>
      <c r="C193" s="171" t="s">
        <v>233</v>
      </c>
      <c r="D193" s="171" t="s">
        <v>80</v>
      </c>
      <c r="E193" s="11">
        <v>41030</v>
      </c>
      <c r="P193">
        <v>6</v>
      </c>
      <c r="Q193">
        <v>6</v>
      </c>
      <c r="R193">
        <v>1</v>
      </c>
    </row>
    <row r="194" spans="1:19" x14ac:dyDescent="0.3">
      <c r="A194" t="s">
        <v>510</v>
      </c>
      <c r="B194" s="171" t="s">
        <v>511</v>
      </c>
      <c r="C194" s="171" t="s">
        <v>236</v>
      </c>
      <c r="D194" s="171" t="s">
        <v>4</v>
      </c>
      <c r="E194" s="11">
        <v>41030</v>
      </c>
      <c r="P194">
        <v>5</v>
      </c>
      <c r="Q194">
        <v>5</v>
      </c>
      <c r="R194">
        <v>1</v>
      </c>
    </row>
    <row r="195" spans="1:19" x14ac:dyDescent="0.3">
      <c r="A195" t="s">
        <v>512</v>
      </c>
      <c r="B195" s="171" t="s">
        <v>513</v>
      </c>
      <c r="C195" s="171" t="s">
        <v>239</v>
      </c>
      <c r="D195" s="171" t="s">
        <v>4</v>
      </c>
      <c r="E195" s="11">
        <v>41030</v>
      </c>
      <c r="P195">
        <v>1</v>
      </c>
      <c r="Q195">
        <v>1</v>
      </c>
      <c r="R195">
        <v>1</v>
      </c>
    </row>
    <row r="196" spans="1:19" x14ac:dyDescent="0.3">
      <c r="A196" t="s">
        <v>514</v>
      </c>
      <c r="B196" s="171" t="s">
        <v>515</v>
      </c>
      <c r="C196" s="171" t="s">
        <v>143</v>
      </c>
      <c r="D196" s="171" t="s">
        <v>4</v>
      </c>
      <c r="E196" s="11">
        <v>41030</v>
      </c>
    </row>
    <row r="197" spans="1:19" x14ac:dyDescent="0.3">
      <c r="A197" t="s">
        <v>516</v>
      </c>
      <c r="B197" s="171" t="s">
        <v>517</v>
      </c>
      <c r="C197" s="171" t="s">
        <v>146</v>
      </c>
      <c r="D197" s="171" t="s">
        <v>80</v>
      </c>
      <c r="E197" s="11">
        <v>41030</v>
      </c>
      <c r="N197">
        <v>0</v>
      </c>
      <c r="P197">
        <v>0</v>
      </c>
      <c r="Q197">
        <v>0</v>
      </c>
      <c r="R197" t="e">
        <v>#DIV/0!</v>
      </c>
      <c r="S197">
        <v>0</v>
      </c>
    </row>
    <row r="198" spans="1:19" x14ac:dyDescent="0.3">
      <c r="A198" t="s">
        <v>518</v>
      </c>
      <c r="B198" s="171" t="s">
        <v>519</v>
      </c>
      <c r="C198" s="171" t="s">
        <v>149</v>
      </c>
      <c r="D198" s="171" t="s">
        <v>4</v>
      </c>
      <c r="E198" s="11">
        <v>41030</v>
      </c>
      <c r="R198" t="e">
        <v>#DIV/0!</v>
      </c>
    </row>
    <row r="199" spans="1:19" x14ac:dyDescent="0.3">
      <c r="A199" t="s">
        <v>520</v>
      </c>
      <c r="B199" s="171" t="s">
        <v>521</v>
      </c>
      <c r="C199" s="171" t="s">
        <v>152</v>
      </c>
      <c r="D199" s="171" t="s">
        <v>4</v>
      </c>
      <c r="E199" s="11">
        <v>41030</v>
      </c>
    </row>
    <row r="200" spans="1:19" x14ac:dyDescent="0.3">
      <c r="A200" t="s">
        <v>522</v>
      </c>
      <c r="B200" s="171" t="s">
        <v>523</v>
      </c>
      <c r="C200" s="171" t="s">
        <v>155</v>
      </c>
      <c r="D200" s="171" t="s">
        <v>4</v>
      </c>
      <c r="E200" s="11">
        <v>41030</v>
      </c>
      <c r="R200" t="e">
        <v>#DIV/0!</v>
      </c>
    </row>
    <row r="201" spans="1:19" x14ac:dyDescent="0.3">
      <c r="A201" t="s">
        <v>524</v>
      </c>
      <c r="B201" s="171" t="s">
        <v>525</v>
      </c>
      <c r="C201" s="171" t="s">
        <v>158</v>
      </c>
      <c r="D201" s="171" t="s">
        <v>4</v>
      </c>
      <c r="E201" s="11">
        <v>41030</v>
      </c>
    </row>
    <row r="202" spans="1:19" x14ac:dyDescent="0.3">
      <c r="A202" t="s">
        <v>526</v>
      </c>
      <c r="B202" s="171" t="s">
        <v>527</v>
      </c>
      <c r="C202" s="171" t="s">
        <v>164</v>
      </c>
      <c r="D202" s="171" t="s">
        <v>4</v>
      </c>
      <c r="E202" s="11">
        <v>41030</v>
      </c>
    </row>
    <row r="203" spans="1:19" x14ac:dyDescent="0.3">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x14ac:dyDescent="0.3">
      <c r="A204" t="s">
        <v>530</v>
      </c>
      <c r="B204" s="171" t="s">
        <v>531</v>
      </c>
      <c r="C204" s="171" t="s">
        <v>221</v>
      </c>
      <c r="D204" s="171" t="s">
        <v>80</v>
      </c>
      <c r="E204" s="11">
        <v>41030</v>
      </c>
      <c r="R204" t="e">
        <v>#DIV/0!</v>
      </c>
    </row>
    <row r="205" spans="1:19" x14ac:dyDescent="0.3">
      <c r="A205" t="s">
        <v>532</v>
      </c>
      <c r="B205" s="171" t="s">
        <v>533</v>
      </c>
      <c r="C205" s="171" t="s">
        <v>224</v>
      </c>
      <c r="D205" s="171" t="s">
        <v>4</v>
      </c>
      <c r="E205" s="11">
        <v>41030</v>
      </c>
    </row>
    <row r="206" spans="1:19" x14ac:dyDescent="0.3">
      <c r="A206" t="s">
        <v>534</v>
      </c>
      <c r="B206" s="171" t="s">
        <v>535</v>
      </c>
      <c r="C206" s="171" t="s">
        <v>227</v>
      </c>
      <c r="D206" s="171" t="s">
        <v>4</v>
      </c>
      <c r="E206" s="11">
        <v>41030</v>
      </c>
      <c r="R206" t="e">
        <v>#DIV/0!</v>
      </c>
    </row>
    <row r="207" spans="1:19" x14ac:dyDescent="0.3">
      <c r="A207" t="s">
        <v>536</v>
      </c>
      <c r="B207" s="171" t="s">
        <v>537</v>
      </c>
      <c r="C207" s="171" t="s">
        <v>230</v>
      </c>
      <c r="D207" s="171" t="s">
        <v>4</v>
      </c>
      <c r="E207" s="11">
        <v>41030</v>
      </c>
    </row>
    <row r="208" spans="1:19" x14ac:dyDescent="0.3">
      <c r="A208" t="s">
        <v>332</v>
      </c>
      <c r="B208" s="171" t="s">
        <v>538</v>
      </c>
      <c r="C208" s="171" t="s">
        <v>73</v>
      </c>
      <c r="D208" s="171" t="s">
        <v>4</v>
      </c>
      <c r="E208" s="11">
        <v>41061</v>
      </c>
    </row>
    <row r="209" spans="1:20" x14ac:dyDescent="0.3">
      <c r="A209" t="s">
        <v>334</v>
      </c>
      <c r="B209" s="171" t="s">
        <v>539</v>
      </c>
      <c r="C209" s="171" t="s">
        <v>76</v>
      </c>
      <c r="D209" s="171" t="s">
        <v>4</v>
      </c>
      <c r="E209" s="11">
        <v>41061</v>
      </c>
    </row>
    <row r="210" spans="1:20" x14ac:dyDescent="0.3">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x14ac:dyDescent="0.3">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3">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x14ac:dyDescent="0.3">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x14ac:dyDescent="0.3">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x14ac:dyDescent="0.3">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x14ac:dyDescent="0.3">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x14ac:dyDescent="0.3">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354</v>
      </c>
      <c r="B219" s="171" t="s">
        <v>549</v>
      </c>
      <c r="C219" s="171" t="s">
        <v>107</v>
      </c>
      <c r="D219" s="171" t="s">
        <v>4</v>
      </c>
      <c r="E219" s="11">
        <v>41061</v>
      </c>
      <c r="N219">
        <v>0</v>
      </c>
      <c r="S219">
        <v>0</v>
      </c>
      <c r="T219">
        <v>0.82499999999999996</v>
      </c>
    </row>
    <row r="220" spans="1:20" x14ac:dyDescent="0.3">
      <c r="A220" t="s">
        <v>356</v>
      </c>
      <c r="B220" s="171" t="s">
        <v>550</v>
      </c>
      <c r="C220" s="171" t="s">
        <v>110</v>
      </c>
      <c r="D220" s="171" t="s">
        <v>80</v>
      </c>
      <c r="E220" s="11">
        <v>41061</v>
      </c>
      <c r="R220" t="e">
        <v>#DIV/0!</v>
      </c>
      <c r="T220">
        <v>0</v>
      </c>
    </row>
    <row r="221" spans="1:20" x14ac:dyDescent="0.3">
      <c r="A221" t="s">
        <v>358</v>
      </c>
      <c r="B221" s="171" t="s">
        <v>551</v>
      </c>
      <c r="C221" s="171" t="s">
        <v>113</v>
      </c>
      <c r="D221" s="171" t="s">
        <v>80</v>
      </c>
      <c r="E221" s="11">
        <v>41061</v>
      </c>
      <c r="R221" t="e">
        <v>#DIV/0!</v>
      </c>
      <c r="T221">
        <v>0</v>
      </c>
    </row>
    <row r="222" spans="1:20" x14ac:dyDescent="0.3">
      <c r="A222" t="s">
        <v>360</v>
      </c>
      <c r="B222" s="171" t="s">
        <v>552</v>
      </c>
      <c r="C222" s="171" t="s">
        <v>116</v>
      </c>
      <c r="D222" s="171" t="s">
        <v>80</v>
      </c>
      <c r="E222" s="11">
        <v>41061</v>
      </c>
      <c r="R222" t="e">
        <v>#DIV/0!</v>
      </c>
      <c r="T222">
        <v>0</v>
      </c>
    </row>
    <row r="223" spans="1:20" x14ac:dyDescent="0.3">
      <c r="A223" t="s">
        <v>370</v>
      </c>
      <c r="B223" s="171" t="s">
        <v>553</v>
      </c>
      <c r="C223" s="171" t="s">
        <v>131</v>
      </c>
      <c r="D223" s="171" t="s">
        <v>80</v>
      </c>
      <c r="E223" s="11">
        <v>41061</v>
      </c>
      <c r="T223">
        <v>0</v>
      </c>
    </row>
    <row r="224" spans="1:20" x14ac:dyDescent="0.3">
      <c r="A224" t="s">
        <v>362</v>
      </c>
      <c r="B224" s="171" t="s">
        <v>554</v>
      </c>
      <c r="C224" s="171" t="s">
        <v>119</v>
      </c>
      <c r="D224" s="171" t="s">
        <v>80</v>
      </c>
      <c r="E224" s="11">
        <v>41061</v>
      </c>
      <c r="T224">
        <v>0.82499999999999996</v>
      </c>
    </row>
    <row r="225" spans="1:20" x14ac:dyDescent="0.3">
      <c r="A225" t="s">
        <v>364</v>
      </c>
      <c r="B225" s="171" t="s">
        <v>555</v>
      </c>
      <c r="C225" s="171" t="s">
        <v>122</v>
      </c>
      <c r="D225" s="171" t="s">
        <v>4</v>
      </c>
      <c r="E225" s="11">
        <v>41061</v>
      </c>
      <c r="T225">
        <v>0</v>
      </c>
    </row>
    <row r="226" spans="1:20" x14ac:dyDescent="0.3">
      <c r="A226" t="s">
        <v>366</v>
      </c>
      <c r="B226" s="171" t="s">
        <v>556</v>
      </c>
      <c r="C226" s="171" t="s">
        <v>125</v>
      </c>
      <c r="D226" s="171" t="s">
        <v>4</v>
      </c>
      <c r="E226" s="11">
        <v>41061</v>
      </c>
    </row>
    <row r="227" spans="1:20" x14ac:dyDescent="0.3">
      <c r="A227" t="s">
        <v>368</v>
      </c>
      <c r="B227" s="171" t="s">
        <v>557</v>
      </c>
      <c r="C227" s="171" t="s">
        <v>128</v>
      </c>
      <c r="D227" s="171" t="s">
        <v>80</v>
      </c>
      <c r="E227" s="11">
        <v>41061</v>
      </c>
    </row>
    <row r="228" spans="1:20" x14ac:dyDescent="0.3">
      <c r="A228" t="s">
        <v>372</v>
      </c>
      <c r="B228" s="171" t="s">
        <v>558</v>
      </c>
      <c r="C228" s="171" t="s">
        <v>134</v>
      </c>
      <c r="D228" s="171" t="s">
        <v>80</v>
      </c>
      <c r="E228" s="11">
        <v>41061</v>
      </c>
    </row>
    <row r="229" spans="1:20" x14ac:dyDescent="0.3">
      <c r="A229" t="s">
        <v>374</v>
      </c>
      <c r="B229" s="171" t="s">
        <v>559</v>
      </c>
      <c r="C229" s="171" t="s">
        <v>137</v>
      </c>
      <c r="D229" s="171" t="s">
        <v>4</v>
      </c>
      <c r="E229" s="11">
        <v>41061</v>
      </c>
      <c r="R229" t="e">
        <v>#DIV/0!</v>
      </c>
    </row>
    <row r="230" spans="1:20" x14ac:dyDescent="0.3">
      <c r="A230" t="s">
        <v>376</v>
      </c>
      <c r="B230" s="171" t="s">
        <v>560</v>
      </c>
      <c r="C230" s="171" t="s">
        <v>140</v>
      </c>
      <c r="D230" s="171" t="s">
        <v>80</v>
      </c>
      <c r="E230" s="11">
        <v>41061</v>
      </c>
      <c r="R230" t="e">
        <v>#DIV/0!</v>
      </c>
    </row>
    <row r="231" spans="1:20" x14ac:dyDescent="0.3">
      <c r="A231" t="s">
        <v>378</v>
      </c>
      <c r="B231" s="171" t="s">
        <v>561</v>
      </c>
      <c r="C231" s="171" t="s">
        <v>143</v>
      </c>
      <c r="D231" s="171" t="s">
        <v>80</v>
      </c>
      <c r="E231" s="11">
        <v>41061</v>
      </c>
      <c r="T231">
        <v>0</v>
      </c>
    </row>
    <row r="232" spans="1:20" x14ac:dyDescent="0.3">
      <c r="A232" t="s">
        <v>380</v>
      </c>
      <c r="B232" s="171" t="s">
        <v>562</v>
      </c>
      <c r="C232" s="171" t="s">
        <v>146</v>
      </c>
      <c r="D232" s="171" t="s">
        <v>4</v>
      </c>
      <c r="E232" s="11">
        <v>41061</v>
      </c>
      <c r="N232">
        <v>0</v>
      </c>
      <c r="P232">
        <v>0</v>
      </c>
      <c r="Q232">
        <v>0</v>
      </c>
      <c r="R232" t="e">
        <v>#DIV/0!</v>
      </c>
      <c r="S232">
        <v>0</v>
      </c>
    </row>
    <row r="233" spans="1:20" x14ac:dyDescent="0.3">
      <c r="A233" t="s">
        <v>382</v>
      </c>
      <c r="B233" s="171" t="s">
        <v>563</v>
      </c>
      <c r="C233" s="171" t="s">
        <v>149</v>
      </c>
      <c r="D233" s="171" t="s">
        <v>80</v>
      </c>
      <c r="E233" s="11">
        <v>41061</v>
      </c>
      <c r="R233" t="e">
        <v>#DIV/0!</v>
      </c>
    </row>
    <row r="234" spans="1:20" x14ac:dyDescent="0.3">
      <c r="A234" t="s">
        <v>384</v>
      </c>
      <c r="B234" s="171" t="s">
        <v>564</v>
      </c>
      <c r="C234" s="171" t="s">
        <v>152</v>
      </c>
      <c r="D234" s="171" t="s">
        <v>80</v>
      </c>
      <c r="E234" s="11">
        <v>41061</v>
      </c>
    </row>
    <row r="235" spans="1:20" x14ac:dyDescent="0.3">
      <c r="A235" t="s">
        <v>386</v>
      </c>
      <c r="B235" s="171" t="s">
        <v>565</v>
      </c>
      <c r="C235" s="171" t="s">
        <v>155</v>
      </c>
      <c r="D235" s="171" t="s">
        <v>80</v>
      </c>
      <c r="E235" s="11">
        <v>41061</v>
      </c>
      <c r="R235" t="e">
        <v>#DIV/0!</v>
      </c>
    </row>
    <row r="236" spans="1:20" x14ac:dyDescent="0.3">
      <c r="A236" t="s">
        <v>388</v>
      </c>
      <c r="B236" s="171" t="s">
        <v>566</v>
      </c>
      <c r="C236" s="171" t="s">
        <v>158</v>
      </c>
      <c r="D236" s="171" t="s">
        <v>80</v>
      </c>
      <c r="E236" s="11">
        <v>41061</v>
      </c>
    </row>
    <row r="237" spans="1:20" x14ac:dyDescent="0.3">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x14ac:dyDescent="0.3">
      <c r="A238" t="s">
        <v>392</v>
      </c>
      <c r="B238" s="171" t="s">
        <v>568</v>
      </c>
      <c r="C238" s="171" t="s">
        <v>164</v>
      </c>
      <c r="D238" s="171" t="s">
        <v>80</v>
      </c>
      <c r="E238" s="11">
        <v>41061</v>
      </c>
      <c r="T238">
        <v>0</v>
      </c>
    </row>
    <row r="239" spans="1:20" x14ac:dyDescent="0.3">
      <c r="A239" t="s">
        <v>394</v>
      </c>
      <c r="B239" s="171" t="s">
        <v>569</v>
      </c>
      <c r="C239" s="171" t="s">
        <v>167</v>
      </c>
      <c r="D239" s="171" t="s">
        <v>4</v>
      </c>
      <c r="E239" s="11">
        <v>41061</v>
      </c>
      <c r="R239" t="e">
        <v>#DIV/0!</v>
      </c>
    </row>
    <row r="240" spans="1:20" x14ac:dyDescent="0.3">
      <c r="A240" t="s">
        <v>396</v>
      </c>
      <c r="B240" s="171" t="s">
        <v>570</v>
      </c>
      <c r="C240" s="171" t="s">
        <v>170</v>
      </c>
      <c r="D240" s="171" t="s">
        <v>80</v>
      </c>
      <c r="E240" s="11">
        <v>41061</v>
      </c>
      <c r="R240" t="e">
        <v>#DIV/0!</v>
      </c>
    </row>
    <row r="241" spans="1:18" x14ac:dyDescent="0.3">
      <c r="A241" t="s">
        <v>398</v>
      </c>
      <c r="B241" s="171" t="s">
        <v>571</v>
      </c>
      <c r="C241" s="171" t="s">
        <v>173</v>
      </c>
      <c r="D241" s="171" t="s">
        <v>80</v>
      </c>
      <c r="E241" s="11">
        <v>41061</v>
      </c>
      <c r="P241">
        <v>0</v>
      </c>
      <c r="Q241">
        <v>0</v>
      </c>
      <c r="R241" t="e">
        <v>#DIV/0!</v>
      </c>
    </row>
    <row r="242" spans="1:18" x14ac:dyDescent="0.3">
      <c r="A242" t="s">
        <v>400</v>
      </c>
      <c r="B242" s="171" t="s">
        <v>572</v>
      </c>
      <c r="C242" s="171" t="s">
        <v>176</v>
      </c>
      <c r="D242" s="171" t="s">
        <v>80</v>
      </c>
      <c r="E242" s="11">
        <v>41061</v>
      </c>
      <c r="P242">
        <v>0</v>
      </c>
      <c r="Q242">
        <v>0</v>
      </c>
      <c r="R242" t="e">
        <v>#DIV/0!</v>
      </c>
    </row>
    <row r="243" spans="1:18" x14ac:dyDescent="0.3">
      <c r="A243" t="s">
        <v>402</v>
      </c>
      <c r="B243" s="171" t="s">
        <v>573</v>
      </c>
      <c r="C243" s="171" t="s">
        <v>179</v>
      </c>
      <c r="D243" s="171" t="s">
        <v>4</v>
      </c>
      <c r="E243" s="11">
        <v>41061</v>
      </c>
      <c r="R243" t="e">
        <v>#DIV/0!</v>
      </c>
    </row>
    <row r="244" spans="1:18" x14ac:dyDescent="0.3">
      <c r="A244" t="s">
        <v>404</v>
      </c>
      <c r="B244" s="171" t="s">
        <v>574</v>
      </c>
      <c r="C244" s="171" t="s">
        <v>182</v>
      </c>
      <c r="D244" s="171" t="s">
        <v>80</v>
      </c>
      <c r="E244" s="11">
        <v>41061</v>
      </c>
      <c r="R244" t="e">
        <v>#DIV/0!</v>
      </c>
    </row>
    <row r="245" spans="1:18" x14ac:dyDescent="0.3">
      <c r="A245" t="s">
        <v>406</v>
      </c>
      <c r="B245" s="171" t="s">
        <v>575</v>
      </c>
      <c r="C245" s="171" t="s">
        <v>185</v>
      </c>
      <c r="D245" s="171" t="s">
        <v>4</v>
      </c>
      <c r="E245" s="11">
        <v>41061</v>
      </c>
      <c r="R245" t="e">
        <v>#DIV/0!</v>
      </c>
    </row>
    <row r="246" spans="1:18" x14ac:dyDescent="0.3">
      <c r="A246" t="s">
        <v>408</v>
      </c>
      <c r="B246" s="171" t="s">
        <v>576</v>
      </c>
      <c r="C246" s="171" t="s">
        <v>188</v>
      </c>
      <c r="D246" s="171" t="s">
        <v>80</v>
      </c>
      <c r="E246" s="11">
        <v>41061</v>
      </c>
      <c r="R246" t="e">
        <v>#DIV/0!</v>
      </c>
    </row>
    <row r="247" spans="1:18" x14ac:dyDescent="0.3">
      <c r="A247" t="s">
        <v>410</v>
      </c>
      <c r="B247" s="171" t="s">
        <v>577</v>
      </c>
      <c r="C247" s="171" t="s">
        <v>191</v>
      </c>
      <c r="D247" s="171" t="s">
        <v>4</v>
      </c>
      <c r="E247" s="11">
        <v>41061</v>
      </c>
    </row>
    <row r="248" spans="1:18" x14ac:dyDescent="0.3">
      <c r="A248" t="s">
        <v>412</v>
      </c>
      <c r="B248" s="171" t="s">
        <v>578</v>
      </c>
      <c r="C248" s="171" t="s">
        <v>194</v>
      </c>
      <c r="D248" s="171" t="s">
        <v>80</v>
      </c>
      <c r="E248" s="11">
        <v>41061</v>
      </c>
    </row>
    <row r="249" spans="1:18" x14ac:dyDescent="0.3">
      <c r="A249" t="s">
        <v>414</v>
      </c>
      <c r="B249" s="171" t="s">
        <v>579</v>
      </c>
      <c r="C249" s="171" t="s">
        <v>197</v>
      </c>
      <c r="D249" s="171" t="s">
        <v>80</v>
      </c>
      <c r="E249" s="11">
        <v>41061</v>
      </c>
    </row>
    <row r="250" spans="1:18" x14ac:dyDescent="0.3">
      <c r="A250" t="s">
        <v>416</v>
      </c>
      <c r="B250" s="171" t="s">
        <v>580</v>
      </c>
      <c r="C250" s="171" t="s">
        <v>200</v>
      </c>
      <c r="D250" s="171" t="s">
        <v>80</v>
      </c>
      <c r="E250" s="11">
        <v>41061</v>
      </c>
    </row>
    <row r="251" spans="1:18" x14ac:dyDescent="0.3">
      <c r="A251" t="s">
        <v>418</v>
      </c>
      <c r="B251" s="171" t="s">
        <v>581</v>
      </c>
      <c r="C251" s="171" t="s">
        <v>203</v>
      </c>
      <c r="D251" s="171" t="s">
        <v>80</v>
      </c>
      <c r="E251" s="11">
        <v>41061</v>
      </c>
      <c r="R251" t="e">
        <v>#DIV/0!</v>
      </c>
    </row>
    <row r="252" spans="1:18" x14ac:dyDescent="0.3">
      <c r="A252" t="s">
        <v>420</v>
      </c>
      <c r="B252" s="171" t="s">
        <v>582</v>
      </c>
      <c r="C252" s="171" t="s">
        <v>206</v>
      </c>
      <c r="D252" s="171" t="s">
        <v>80</v>
      </c>
      <c r="E252" s="11">
        <v>41061</v>
      </c>
    </row>
    <row r="253" spans="1:18" x14ac:dyDescent="0.3">
      <c r="A253" t="s">
        <v>422</v>
      </c>
      <c r="B253" s="171" t="s">
        <v>583</v>
      </c>
      <c r="C253" s="171" t="s">
        <v>209</v>
      </c>
      <c r="D253" s="171" t="s">
        <v>80</v>
      </c>
      <c r="E253" s="11">
        <v>41061</v>
      </c>
    </row>
    <row r="254" spans="1:18" x14ac:dyDescent="0.3">
      <c r="A254" t="s">
        <v>424</v>
      </c>
      <c r="B254" s="171" t="s">
        <v>584</v>
      </c>
      <c r="C254" s="171" t="s">
        <v>212</v>
      </c>
      <c r="D254" s="171" t="s">
        <v>4</v>
      </c>
      <c r="E254" s="11">
        <v>41061</v>
      </c>
    </row>
    <row r="255" spans="1:18" x14ac:dyDescent="0.3">
      <c r="A255" t="s">
        <v>426</v>
      </c>
      <c r="B255" s="171" t="s">
        <v>585</v>
      </c>
      <c r="C255" s="171" t="s">
        <v>215</v>
      </c>
      <c r="D255" s="171" t="s">
        <v>4</v>
      </c>
      <c r="E255" s="11">
        <v>41061</v>
      </c>
      <c r="R255" t="e">
        <v>#DIV/0!</v>
      </c>
    </row>
    <row r="256" spans="1:18" x14ac:dyDescent="0.3">
      <c r="A256" t="s">
        <v>428</v>
      </c>
      <c r="B256" s="171" t="s">
        <v>586</v>
      </c>
      <c r="C256" s="171" t="s">
        <v>218</v>
      </c>
      <c r="D256" s="171" t="s">
        <v>80</v>
      </c>
      <c r="E256" s="11">
        <v>41061</v>
      </c>
      <c r="R256" t="e">
        <v>#DIV/0!</v>
      </c>
    </row>
    <row r="257" spans="1:20" x14ac:dyDescent="0.3">
      <c r="A257" t="s">
        <v>430</v>
      </c>
      <c r="B257" s="171" t="s">
        <v>587</v>
      </c>
      <c r="C257" s="171" t="s">
        <v>221</v>
      </c>
      <c r="D257" s="171" t="s">
        <v>4</v>
      </c>
      <c r="E257" s="11">
        <v>41061</v>
      </c>
      <c r="R257" t="e">
        <v>#DIV/0!</v>
      </c>
    </row>
    <row r="258" spans="1:20" x14ac:dyDescent="0.3">
      <c r="A258" t="s">
        <v>432</v>
      </c>
      <c r="B258" s="171" t="s">
        <v>588</v>
      </c>
      <c r="C258" s="171" t="s">
        <v>224</v>
      </c>
      <c r="D258" s="171" t="s">
        <v>80</v>
      </c>
      <c r="E258" s="11">
        <v>41061</v>
      </c>
    </row>
    <row r="259" spans="1:20" x14ac:dyDescent="0.3">
      <c r="A259" t="s">
        <v>434</v>
      </c>
      <c r="B259" s="171" t="s">
        <v>589</v>
      </c>
      <c r="C259" s="171" t="s">
        <v>227</v>
      </c>
      <c r="D259" s="171" t="s">
        <v>80</v>
      </c>
      <c r="E259" s="11">
        <v>41061</v>
      </c>
      <c r="R259" t="e">
        <v>#DIV/0!</v>
      </c>
    </row>
    <row r="260" spans="1:20" x14ac:dyDescent="0.3">
      <c r="A260" t="s">
        <v>436</v>
      </c>
      <c r="B260" s="171" t="s">
        <v>590</v>
      </c>
      <c r="C260" s="171" t="s">
        <v>230</v>
      </c>
      <c r="D260" s="171" t="s">
        <v>80</v>
      </c>
      <c r="E260" s="11">
        <v>41061</v>
      </c>
    </row>
    <row r="261" spans="1:20" x14ac:dyDescent="0.3">
      <c r="A261" t="s">
        <v>438</v>
      </c>
      <c r="B261" s="171" t="s">
        <v>591</v>
      </c>
      <c r="C261" s="171" t="s">
        <v>233</v>
      </c>
      <c r="D261" s="171" t="s">
        <v>4</v>
      </c>
      <c r="E261" s="11">
        <v>41061</v>
      </c>
      <c r="P261">
        <v>7</v>
      </c>
      <c r="Q261">
        <v>11</v>
      </c>
      <c r="R261">
        <v>0.63636363636363635</v>
      </c>
    </row>
    <row r="262" spans="1:20" x14ac:dyDescent="0.3">
      <c r="A262" t="s">
        <v>440</v>
      </c>
      <c r="B262" s="171" t="s">
        <v>592</v>
      </c>
      <c r="C262" s="171" t="s">
        <v>236</v>
      </c>
      <c r="D262" s="171" t="s">
        <v>80</v>
      </c>
      <c r="E262" s="11">
        <v>41061</v>
      </c>
      <c r="P262">
        <v>7</v>
      </c>
      <c r="Q262">
        <v>11</v>
      </c>
      <c r="R262">
        <v>0.63636363636363635</v>
      </c>
    </row>
    <row r="263" spans="1:20" x14ac:dyDescent="0.3">
      <c r="A263" t="s">
        <v>442</v>
      </c>
      <c r="B263" s="171" t="s">
        <v>593</v>
      </c>
      <c r="C263" s="171" t="s">
        <v>239</v>
      </c>
      <c r="D263" s="171" t="s">
        <v>80</v>
      </c>
      <c r="E263" s="11">
        <v>41061</v>
      </c>
    </row>
    <row r="264" spans="1:20" x14ac:dyDescent="0.3">
      <c r="A264" t="s">
        <v>444</v>
      </c>
      <c r="B264" s="171" t="s">
        <v>594</v>
      </c>
      <c r="C264" s="171" t="s">
        <v>76</v>
      </c>
      <c r="D264" s="171" t="s">
        <v>80</v>
      </c>
      <c r="E264" s="11">
        <v>41061</v>
      </c>
    </row>
    <row r="265" spans="1:20" x14ac:dyDescent="0.3">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x14ac:dyDescent="0.3">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x14ac:dyDescent="0.3">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x14ac:dyDescent="0.3">
      <c r="A271" t="s">
        <v>458</v>
      </c>
      <c r="B271" s="171" t="s">
        <v>601</v>
      </c>
      <c r="C271" s="171" t="s">
        <v>107</v>
      </c>
      <c r="D271" s="171" t="s">
        <v>80</v>
      </c>
      <c r="E271" s="11">
        <v>41061</v>
      </c>
      <c r="N271">
        <v>0</v>
      </c>
      <c r="S271">
        <v>0</v>
      </c>
    </row>
    <row r="272" spans="1:20" x14ac:dyDescent="0.3">
      <c r="A272" t="s">
        <v>460</v>
      </c>
      <c r="B272" s="171" t="s">
        <v>602</v>
      </c>
      <c r="C272" s="171" t="s">
        <v>110</v>
      </c>
      <c r="D272" s="171" t="s">
        <v>4</v>
      </c>
      <c r="E272" s="11">
        <v>41061</v>
      </c>
      <c r="R272" t="e">
        <v>#DIV/0!</v>
      </c>
      <c r="T272">
        <v>0</v>
      </c>
    </row>
    <row r="273" spans="1:20" x14ac:dyDescent="0.3">
      <c r="A273" t="s">
        <v>462</v>
      </c>
      <c r="B273" s="171" t="s">
        <v>603</v>
      </c>
      <c r="C273" s="171" t="s">
        <v>113</v>
      </c>
      <c r="D273" s="171" t="s">
        <v>4</v>
      </c>
      <c r="E273" s="11">
        <v>41061</v>
      </c>
      <c r="R273" t="e">
        <v>#DIV/0!</v>
      </c>
      <c r="T273">
        <v>0</v>
      </c>
    </row>
    <row r="274" spans="1:20" x14ac:dyDescent="0.3">
      <c r="A274" t="s">
        <v>464</v>
      </c>
      <c r="B274" s="171" t="s">
        <v>604</v>
      </c>
      <c r="C274" s="171" t="s">
        <v>116</v>
      </c>
      <c r="D274" s="171" t="s">
        <v>4</v>
      </c>
      <c r="E274" s="11">
        <v>41061</v>
      </c>
      <c r="R274" t="e">
        <v>#DIV/0!</v>
      </c>
      <c r="T274">
        <v>0</v>
      </c>
    </row>
    <row r="275" spans="1:20" x14ac:dyDescent="0.3">
      <c r="A275" t="s">
        <v>466</v>
      </c>
      <c r="B275" s="171" t="s">
        <v>605</v>
      </c>
      <c r="C275" s="171" t="s">
        <v>119</v>
      </c>
      <c r="D275" s="171" t="s">
        <v>4</v>
      </c>
      <c r="E275" s="11">
        <v>41061</v>
      </c>
      <c r="T275">
        <v>0.82499999999999996</v>
      </c>
    </row>
    <row r="276" spans="1:20" x14ac:dyDescent="0.3">
      <c r="A276" t="s">
        <v>468</v>
      </c>
      <c r="B276" s="171" t="s">
        <v>606</v>
      </c>
      <c r="C276" s="171" t="s">
        <v>122</v>
      </c>
      <c r="D276" s="171" t="s">
        <v>80</v>
      </c>
      <c r="E276" s="11">
        <v>41061</v>
      </c>
      <c r="T276">
        <v>0</v>
      </c>
    </row>
    <row r="277" spans="1:20" x14ac:dyDescent="0.3">
      <c r="A277" t="s">
        <v>470</v>
      </c>
      <c r="B277" s="171" t="s">
        <v>607</v>
      </c>
      <c r="C277" s="171" t="s">
        <v>125</v>
      </c>
      <c r="D277" s="171" t="s">
        <v>80</v>
      </c>
      <c r="E277" s="11">
        <v>41061</v>
      </c>
      <c r="T277">
        <v>0</v>
      </c>
    </row>
    <row r="278" spans="1:20" x14ac:dyDescent="0.3">
      <c r="A278" t="s">
        <v>472</v>
      </c>
      <c r="B278" s="171" t="s">
        <v>608</v>
      </c>
      <c r="C278" s="171" t="s">
        <v>128</v>
      </c>
      <c r="D278" s="171" t="s">
        <v>4</v>
      </c>
      <c r="E278" s="11">
        <v>41061</v>
      </c>
      <c r="T278">
        <v>0</v>
      </c>
    </row>
    <row r="279" spans="1:20" x14ac:dyDescent="0.3">
      <c r="A279" t="s">
        <v>474</v>
      </c>
      <c r="B279" s="171" t="s">
        <v>609</v>
      </c>
      <c r="C279" s="171" t="s">
        <v>131</v>
      </c>
      <c r="D279" s="171" t="s">
        <v>4</v>
      </c>
      <c r="E279" s="11">
        <v>41061</v>
      </c>
      <c r="T279">
        <v>0</v>
      </c>
    </row>
    <row r="280" spans="1:20" x14ac:dyDescent="0.3">
      <c r="A280" t="s">
        <v>476</v>
      </c>
      <c r="B280" s="171" t="s">
        <v>610</v>
      </c>
      <c r="C280" s="171" t="s">
        <v>134</v>
      </c>
      <c r="D280" s="171" t="s">
        <v>4</v>
      </c>
      <c r="E280" s="11">
        <v>41061</v>
      </c>
      <c r="T280">
        <v>0.82499999999999996</v>
      </c>
    </row>
    <row r="281" spans="1:20" x14ac:dyDescent="0.3">
      <c r="A281" t="s">
        <v>478</v>
      </c>
      <c r="B281" s="171" t="s">
        <v>611</v>
      </c>
      <c r="C281" s="171" t="s">
        <v>137</v>
      </c>
      <c r="D281" s="171" t="s">
        <v>80</v>
      </c>
      <c r="E281" s="11">
        <v>41061</v>
      </c>
      <c r="R281" t="e">
        <v>#DIV/0!</v>
      </c>
      <c r="T281">
        <v>0</v>
      </c>
    </row>
    <row r="282" spans="1:20" x14ac:dyDescent="0.3">
      <c r="A282" t="s">
        <v>480</v>
      </c>
      <c r="B282" s="171" t="s">
        <v>612</v>
      </c>
      <c r="C282" s="171" t="s">
        <v>140</v>
      </c>
      <c r="D282" s="171" t="s">
        <v>4</v>
      </c>
      <c r="E282" s="11">
        <v>41061</v>
      </c>
      <c r="R282" t="e">
        <v>#DIV/0!</v>
      </c>
    </row>
    <row r="283" spans="1:20" x14ac:dyDescent="0.3">
      <c r="A283" t="s">
        <v>482</v>
      </c>
      <c r="B283" s="171" t="s">
        <v>613</v>
      </c>
      <c r="C283" s="171" t="s">
        <v>167</v>
      </c>
      <c r="D283" s="171" t="s">
        <v>80</v>
      </c>
      <c r="E283" s="11">
        <v>41061</v>
      </c>
      <c r="R283" t="e">
        <v>#DIV/0!</v>
      </c>
    </row>
    <row r="284" spans="1:20" x14ac:dyDescent="0.3">
      <c r="A284" t="s">
        <v>484</v>
      </c>
      <c r="B284" s="171" t="s">
        <v>614</v>
      </c>
      <c r="C284" s="171" t="s">
        <v>170</v>
      </c>
      <c r="D284" s="171" t="s">
        <v>4</v>
      </c>
      <c r="E284" s="11">
        <v>41061</v>
      </c>
      <c r="R284" t="e">
        <v>#DIV/0!</v>
      </c>
    </row>
    <row r="285" spans="1:20" x14ac:dyDescent="0.3">
      <c r="A285" t="s">
        <v>486</v>
      </c>
      <c r="B285" s="171" t="s">
        <v>615</v>
      </c>
      <c r="C285" s="171" t="s">
        <v>179</v>
      </c>
      <c r="D285" s="171" t="s">
        <v>80</v>
      </c>
      <c r="E285" s="11">
        <v>41061</v>
      </c>
      <c r="R285" t="e">
        <v>#DIV/0!</v>
      </c>
    </row>
    <row r="286" spans="1:20" x14ac:dyDescent="0.3">
      <c r="A286" t="s">
        <v>488</v>
      </c>
      <c r="B286" s="171" t="s">
        <v>616</v>
      </c>
      <c r="C286" s="171" t="s">
        <v>182</v>
      </c>
      <c r="D286" s="171" t="s">
        <v>4</v>
      </c>
      <c r="E286" s="11">
        <v>41061</v>
      </c>
      <c r="R286" t="e">
        <v>#DIV/0!</v>
      </c>
    </row>
    <row r="287" spans="1:20" x14ac:dyDescent="0.3">
      <c r="A287" t="s">
        <v>490</v>
      </c>
      <c r="B287" s="171" t="s">
        <v>617</v>
      </c>
      <c r="C287" s="171" t="s">
        <v>185</v>
      </c>
      <c r="D287" s="171" t="s">
        <v>80</v>
      </c>
      <c r="E287" s="11">
        <v>41061</v>
      </c>
      <c r="R287" t="e">
        <v>#DIV/0!</v>
      </c>
      <c r="T287">
        <v>0</v>
      </c>
    </row>
    <row r="288" spans="1:20" x14ac:dyDescent="0.3">
      <c r="A288" t="s">
        <v>492</v>
      </c>
      <c r="B288" s="171" t="s">
        <v>618</v>
      </c>
      <c r="C288" s="171" t="s">
        <v>188</v>
      </c>
      <c r="D288" s="171" t="s">
        <v>4</v>
      </c>
      <c r="E288" s="11">
        <v>41061</v>
      </c>
      <c r="R288" t="e">
        <v>#DIV/0!</v>
      </c>
    </row>
    <row r="289" spans="1:20" x14ac:dyDescent="0.3">
      <c r="A289" t="s">
        <v>494</v>
      </c>
      <c r="B289" s="171" t="s">
        <v>619</v>
      </c>
      <c r="C289" s="171" t="s">
        <v>191</v>
      </c>
      <c r="D289" s="171" t="s">
        <v>80</v>
      </c>
      <c r="E289" s="11">
        <v>41061</v>
      </c>
    </row>
    <row r="290" spans="1:20" x14ac:dyDescent="0.3">
      <c r="A290" t="s">
        <v>496</v>
      </c>
      <c r="B290" s="171" t="s">
        <v>620</v>
      </c>
      <c r="C290" s="171" t="s">
        <v>194</v>
      </c>
      <c r="D290" s="171" t="s">
        <v>4</v>
      </c>
      <c r="E290" s="11">
        <v>41061</v>
      </c>
    </row>
    <row r="291" spans="1:20" x14ac:dyDescent="0.3">
      <c r="A291" t="s">
        <v>498</v>
      </c>
      <c r="B291" s="171" t="s">
        <v>621</v>
      </c>
      <c r="C291" s="171" t="s">
        <v>197</v>
      </c>
      <c r="D291" s="171" t="s">
        <v>4</v>
      </c>
      <c r="E291" s="11">
        <v>41061</v>
      </c>
    </row>
    <row r="292" spans="1:20" x14ac:dyDescent="0.3">
      <c r="A292" t="s">
        <v>500</v>
      </c>
      <c r="B292" s="171" t="s">
        <v>622</v>
      </c>
      <c r="C292" s="171" t="s">
        <v>209</v>
      </c>
      <c r="D292" s="171" t="s">
        <v>4</v>
      </c>
      <c r="E292" s="11">
        <v>41061</v>
      </c>
    </row>
    <row r="293" spans="1:20" x14ac:dyDescent="0.3">
      <c r="A293" t="s">
        <v>502</v>
      </c>
      <c r="B293" s="171" t="s">
        <v>623</v>
      </c>
      <c r="C293" s="171" t="s">
        <v>212</v>
      </c>
      <c r="D293" s="171" t="s">
        <v>80</v>
      </c>
      <c r="E293" s="11">
        <v>41061</v>
      </c>
    </row>
    <row r="294" spans="1:20" x14ac:dyDescent="0.3">
      <c r="A294" t="s">
        <v>504</v>
      </c>
      <c r="B294" s="171" t="s">
        <v>624</v>
      </c>
      <c r="C294" s="171" t="s">
        <v>215</v>
      </c>
      <c r="D294" s="171" t="s">
        <v>80</v>
      </c>
      <c r="E294" s="11">
        <v>41061</v>
      </c>
      <c r="R294" t="e">
        <v>#DIV/0!</v>
      </c>
      <c r="T294">
        <v>0</v>
      </c>
    </row>
    <row r="295" spans="1:20" x14ac:dyDescent="0.3">
      <c r="A295" t="s">
        <v>506</v>
      </c>
      <c r="B295" s="171" t="s">
        <v>625</v>
      </c>
      <c r="C295" s="171" t="s">
        <v>218</v>
      </c>
      <c r="D295" s="171" t="s">
        <v>4</v>
      </c>
      <c r="E295" s="11">
        <v>41061</v>
      </c>
      <c r="R295" t="e">
        <v>#DIV/0!</v>
      </c>
    </row>
    <row r="296" spans="1:20" x14ac:dyDescent="0.3">
      <c r="A296" t="s">
        <v>508</v>
      </c>
      <c r="B296" s="171" t="s">
        <v>626</v>
      </c>
      <c r="C296" s="171" t="s">
        <v>233</v>
      </c>
      <c r="D296" s="171" t="s">
        <v>80</v>
      </c>
      <c r="E296" s="11">
        <v>41061</v>
      </c>
      <c r="P296">
        <v>7</v>
      </c>
      <c r="Q296">
        <v>11</v>
      </c>
      <c r="R296">
        <v>0.63636363636363635</v>
      </c>
    </row>
    <row r="297" spans="1:20" x14ac:dyDescent="0.3">
      <c r="A297" t="s">
        <v>510</v>
      </c>
      <c r="B297" s="171" t="s">
        <v>627</v>
      </c>
      <c r="C297" s="171" t="s">
        <v>236</v>
      </c>
      <c r="D297" s="171" t="s">
        <v>4</v>
      </c>
      <c r="E297" s="11">
        <v>41061</v>
      </c>
      <c r="P297">
        <v>7</v>
      </c>
      <c r="Q297">
        <v>11</v>
      </c>
      <c r="R297">
        <v>0.63636363636363635</v>
      </c>
    </row>
    <row r="298" spans="1:20" x14ac:dyDescent="0.3">
      <c r="A298" t="s">
        <v>512</v>
      </c>
      <c r="B298" s="171" t="s">
        <v>628</v>
      </c>
      <c r="C298" s="171" t="s">
        <v>239</v>
      </c>
      <c r="D298" s="171" t="s">
        <v>4</v>
      </c>
      <c r="E298" s="11">
        <v>41061</v>
      </c>
    </row>
    <row r="299" spans="1:20" x14ac:dyDescent="0.3">
      <c r="A299" t="s">
        <v>514</v>
      </c>
      <c r="B299" s="171" t="s">
        <v>629</v>
      </c>
      <c r="C299" s="171" t="s">
        <v>143</v>
      </c>
      <c r="D299" s="171" t="s">
        <v>4</v>
      </c>
      <c r="E299" s="11">
        <v>41061</v>
      </c>
    </row>
    <row r="300" spans="1:20" x14ac:dyDescent="0.3">
      <c r="A300" t="s">
        <v>516</v>
      </c>
      <c r="B300" s="171" t="s">
        <v>630</v>
      </c>
      <c r="C300" s="171" t="s">
        <v>146</v>
      </c>
      <c r="D300" s="171" t="s">
        <v>80</v>
      </c>
      <c r="E300" s="11">
        <v>41061</v>
      </c>
      <c r="N300">
        <v>0</v>
      </c>
      <c r="P300">
        <v>0</v>
      </c>
      <c r="Q300">
        <v>0</v>
      </c>
      <c r="R300" t="e">
        <v>#DIV/0!</v>
      </c>
      <c r="S300">
        <v>0</v>
      </c>
    </row>
    <row r="301" spans="1:20" x14ac:dyDescent="0.3">
      <c r="A301" t="s">
        <v>518</v>
      </c>
      <c r="B301" s="171" t="s">
        <v>631</v>
      </c>
      <c r="C301" s="171" t="s">
        <v>149</v>
      </c>
      <c r="D301" s="171" t="s">
        <v>4</v>
      </c>
      <c r="E301" s="11">
        <v>41061</v>
      </c>
      <c r="R301" t="e">
        <v>#DIV/0!</v>
      </c>
    </row>
    <row r="302" spans="1:20" x14ac:dyDescent="0.3">
      <c r="A302" t="s">
        <v>520</v>
      </c>
      <c r="B302" s="171" t="s">
        <v>632</v>
      </c>
      <c r="C302" s="171" t="s">
        <v>152</v>
      </c>
      <c r="D302" s="171" t="s">
        <v>4</v>
      </c>
      <c r="E302" s="11">
        <v>41061</v>
      </c>
    </row>
    <row r="303" spans="1:20" x14ac:dyDescent="0.3">
      <c r="A303" t="s">
        <v>522</v>
      </c>
      <c r="B303" s="171" t="s">
        <v>633</v>
      </c>
      <c r="C303" s="171" t="s">
        <v>155</v>
      </c>
      <c r="D303" s="171" t="s">
        <v>4</v>
      </c>
      <c r="E303" s="11">
        <v>41061</v>
      </c>
      <c r="R303" t="e">
        <v>#DIV/0!</v>
      </c>
    </row>
    <row r="304" spans="1:20" x14ac:dyDescent="0.3">
      <c r="A304" t="s">
        <v>524</v>
      </c>
      <c r="B304" s="171" t="s">
        <v>634</v>
      </c>
      <c r="C304" s="171" t="s">
        <v>158</v>
      </c>
      <c r="D304" s="171" t="s">
        <v>4</v>
      </c>
      <c r="E304" s="11">
        <v>41061</v>
      </c>
    </row>
    <row r="305" spans="1:19" x14ac:dyDescent="0.3">
      <c r="A305" t="s">
        <v>526</v>
      </c>
      <c r="B305" s="171" t="s">
        <v>635</v>
      </c>
      <c r="C305" s="171" t="s">
        <v>164</v>
      </c>
      <c r="D305" s="171" t="s">
        <v>4</v>
      </c>
      <c r="E305" s="11">
        <v>41061</v>
      </c>
    </row>
    <row r="306" spans="1:19" x14ac:dyDescent="0.3">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x14ac:dyDescent="0.3">
      <c r="A307" t="s">
        <v>530</v>
      </c>
      <c r="B307" s="171" t="s">
        <v>637</v>
      </c>
      <c r="C307" s="171" t="s">
        <v>221</v>
      </c>
      <c r="D307" s="171" t="s">
        <v>80</v>
      </c>
      <c r="E307" s="11">
        <v>41061</v>
      </c>
      <c r="R307" t="e">
        <v>#DIV/0!</v>
      </c>
    </row>
    <row r="308" spans="1:19" x14ac:dyDescent="0.3">
      <c r="A308" t="s">
        <v>532</v>
      </c>
      <c r="B308" s="171" t="s">
        <v>638</v>
      </c>
      <c r="C308" s="171" t="s">
        <v>224</v>
      </c>
      <c r="D308" s="171" t="s">
        <v>4</v>
      </c>
      <c r="E308" s="11">
        <v>41061</v>
      </c>
    </row>
    <row r="309" spans="1:19" x14ac:dyDescent="0.3">
      <c r="A309" t="s">
        <v>534</v>
      </c>
      <c r="B309" s="171" t="s">
        <v>639</v>
      </c>
      <c r="C309" s="171" t="s">
        <v>227</v>
      </c>
      <c r="D309" s="171" t="s">
        <v>4</v>
      </c>
      <c r="E309" s="11">
        <v>41061</v>
      </c>
      <c r="R309" t="e">
        <v>#DIV/0!</v>
      </c>
    </row>
    <row r="310" spans="1:19" x14ac:dyDescent="0.3">
      <c r="A310" t="s">
        <v>536</v>
      </c>
      <c r="B310" s="171" t="s">
        <v>640</v>
      </c>
      <c r="C310" s="171" t="s">
        <v>230</v>
      </c>
      <c r="D310" s="171" t="s">
        <v>4</v>
      </c>
      <c r="E310" s="11">
        <v>41061</v>
      </c>
    </row>
    <row r="311" spans="1:19" x14ac:dyDescent="0.3">
      <c r="A311" t="s">
        <v>641</v>
      </c>
      <c r="B311" s="171" t="s">
        <v>642</v>
      </c>
      <c r="C311" s="171" t="s">
        <v>73</v>
      </c>
      <c r="D311" s="171" t="s">
        <v>4</v>
      </c>
      <c r="E311" s="11">
        <v>41091</v>
      </c>
    </row>
    <row r="312" spans="1:19" x14ac:dyDescent="0.3">
      <c r="A312" t="s">
        <v>643</v>
      </c>
      <c r="B312" s="171" t="s">
        <v>644</v>
      </c>
      <c r="C312" s="171" t="s">
        <v>76</v>
      </c>
      <c r="D312" s="171" t="s">
        <v>4</v>
      </c>
      <c r="E312" s="11">
        <v>41091</v>
      </c>
    </row>
    <row r="313" spans="1:19" x14ac:dyDescent="0.3">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x14ac:dyDescent="0.3">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x14ac:dyDescent="0.3">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x14ac:dyDescent="0.3">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x14ac:dyDescent="0.3">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x14ac:dyDescent="0.3">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x14ac:dyDescent="0.3">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x14ac:dyDescent="0.3">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x14ac:dyDescent="0.3">
      <c r="A322" t="s">
        <v>663</v>
      </c>
      <c r="B322" s="171" t="s">
        <v>664</v>
      </c>
      <c r="C322" s="171" t="s">
        <v>107</v>
      </c>
      <c r="D322" s="171" t="s">
        <v>4</v>
      </c>
      <c r="E322" s="11">
        <v>41091</v>
      </c>
      <c r="N322">
        <v>0</v>
      </c>
      <c r="S322">
        <v>0</v>
      </c>
    </row>
    <row r="323" spans="1:20" x14ac:dyDescent="0.3">
      <c r="A323" t="s">
        <v>665</v>
      </c>
      <c r="B323" s="171" t="s">
        <v>666</v>
      </c>
      <c r="C323" s="171" t="s">
        <v>110</v>
      </c>
      <c r="D323" s="171" t="s">
        <v>80</v>
      </c>
      <c r="E323" s="11">
        <v>41091</v>
      </c>
      <c r="R323" t="e">
        <v>#DIV/0!</v>
      </c>
      <c r="T323">
        <v>0.82499999999999996</v>
      </c>
    </row>
    <row r="324" spans="1:20" x14ac:dyDescent="0.3">
      <c r="A324" t="s">
        <v>667</v>
      </c>
      <c r="B324" s="171" t="s">
        <v>668</v>
      </c>
      <c r="C324" s="171" t="s">
        <v>113</v>
      </c>
      <c r="D324" s="171" t="s">
        <v>80</v>
      </c>
      <c r="E324" s="11">
        <v>41091</v>
      </c>
      <c r="R324" t="e">
        <v>#DIV/0!</v>
      </c>
      <c r="T324">
        <v>0.82499999999999996</v>
      </c>
    </row>
    <row r="325" spans="1:20" x14ac:dyDescent="0.3">
      <c r="A325" t="s">
        <v>669</v>
      </c>
      <c r="B325" s="171" t="s">
        <v>670</v>
      </c>
      <c r="C325" s="171" t="s">
        <v>116</v>
      </c>
      <c r="D325" s="171" t="s">
        <v>80</v>
      </c>
      <c r="E325" s="11">
        <v>41091</v>
      </c>
      <c r="R325" t="e">
        <v>#DIV/0!</v>
      </c>
    </row>
    <row r="326" spans="1:20" x14ac:dyDescent="0.3">
      <c r="A326" t="s">
        <v>671</v>
      </c>
      <c r="B326" s="171" t="s">
        <v>672</v>
      </c>
      <c r="C326" s="171" t="s">
        <v>119</v>
      </c>
      <c r="D326" s="171" t="s">
        <v>80</v>
      </c>
      <c r="E326" s="11">
        <v>41091</v>
      </c>
    </row>
    <row r="327" spans="1:20" x14ac:dyDescent="0.3">
      <c r="A327" t="s">
        <v>673</v>
      </c>
      <c r="B327" s="171" t="s">
        <v>674</v>
      </c>
      <c r="C327" s="171" t="s">
        <v>122</v>
      </c>
      <c r="D327" s="171" t="s">
        <v>4</v>
      </c>
      <c r="E327" s="11">
        <v>41091</v>
      </c>
    </row>
    <row r="328" spans="1:20" x14ac:dyDescent="0.3">
      <c r="A328" t="s">
        <v>675</v>
      </c>
      <c r="B328" s="171" t="s">
        <v>676</v>
      </c>
      <c r="C328" s="171" t="s">
        <v>125</v>
      </c>
      <c r="D328" s="171" t="s">
        <v>4</v>
      </c>
      <c r="E328" s="11">
        <v>41091</v>
      </c>
      <c r="P328">
        <v>0</v>
      </c>
      <c r="Q328">
        <v>0</v>
      </c>
      <c r="T328">
        <v>0</v>
      </c>
    </row>
    <row r="329" spans="1:20" x14ac:dyDescent="0.3">
      <c r="A329" t="s">
        <v>677</v>
      </c>
      <c r="B329" s="171" t="s">
        <v>678</v>
      </c>
      <c r="C329" s="171" t="s">
        <v>128</v>
      </c>
      <c r="D329" s="171" t="s">
        <v>80</v>
      </c>
      <c r="E329" s="11">
        <v>41091</v>
      </c>
      <c r="T329">
        <v>0</v>
      </c>
    </row>
    <row r="330" spans="1:20" x14ac:dyDescent="0.3">
      <c r="A330" t="s">
        <v>679</v>
      </c>
      <c r="B330" s="171" t="s">
        <v>680</v>
      </c>
      <c r="C330" s="171" t="s">
        <v>131</v>
      </c>
      <c r="D330" s="171" t="s">
        <v>80</v>
      </c>
      <c r="E330" s="11">
        <v>41091</v>
      </c>
      <c r="T330">
        <v>0</v>
      </c>
    </row>
    <row r="331" spans="1:20" x14ac:dyDescent="0.3">
      <c r="A331" t="s">
        <v>681</v>
      </c>
      <c r="B331" s="171" t="s">
        <v>682</v>
      </c>
      <c r="C331" s="171" t="s">
        <v>134</v>
      </c>
      <c r="D331" s="171" t="s">
        <v>80</v>
      </c>
      <c r="E331" s="11">
        <v>41091</v>
      </c>
      <c r="T331">
        <v>0.84399999999999997</v>
      </c>
    </row>
    <row r="332" spans="1:20" x14ac:dyDescent="0.3">
      <c r="A332" t="s">
        <v>683</v>
      </c>
      <c r="B332" s="171" t="s">
        <v>684</v>
      </c>
      <c r="C332" s="171" t="s">
        <v>137</v>
      </c>
      <c r="D332" s="171" t="s">
        <v>4</v>
      </c>
      <c r="E332" s="11">
        <v>41091</v>
      </c>
      <c r="R332" t="e">
        <v>#DIV/0!</v>
      </c>
      <c r="T332">
        <v>0.96399999999999997</v>
      </c>
    </row>
    <row r="333" spans="1:20" x14ac:dyDescent="0.3">
      <c r="A333" t="s">
        <v>685</v>
      </c>
      <c r="B333" s="171" t="s">
        <v>686</v>
      </c>
      <c r="C333" s="171" t="s">
        <v>140</v>
      </c>
      <c r="D333" s="171" t="s">
        <v>80</v>
      </c>
      <c r="E333" s="11">
        <v>41091</v>
      </c>
      <c r="R333" t="e">
        <v>#DIV/0!</v>
      </c>
      <c r="T333">
        <v>0</v>
      </c>
    </row>
    <row r="334" spans="1:20" x14ac:dyDescent="0.3">
      <c r="A334" t="s">
        <v>687</v>
      </c>
      <c r="B334" s="171" t="s">
        <v>688</v>
      </c>
      <c r="C334" s="171" t="s">
        <v>143</v>
      </c>
      <c r="D334" s="171" t="s">
        <v>80</v>
      </c>
      <c r="E334" s="11">
        <v>41091</v>
      </c>
      <c r="T334">
        <v>0</v>
      </c>
    </row>
    <row r="335" spans="1:20" x14ac:dyDescent="0.3">
      <c r="A335" t="s">
        <v>689</v>
      </c>
      <c r="B335" s="171" t="s">
        <v>690</v>
      </c>
      <c r="C335" s="171" t="s">
        <v>146</v>
      </c>
      <c r="D335" s="171" t="s">
        <v>4</v>
      </c>
      <c r="E335" s="11">
        <v>41091</v>
      </c>
      <c r="N335">
        <v>0</v>
      </c>
      <c r="P335">
        <v>0</v>
      </c>
      <c r="Q335">
        <v>0</v>
      </c>
      <c r="R335" t="e">
        <v>#DIV/0!</v>
      </c>
      <c r="S335">
        <v>0</v>
      </c>
      <c r="T335">
        <v>0</v>
      </c>
    </row>
    <row r="336" spans="1:20" x14ac:dyDescent="0.3">
      <c r="A336" t="s">
        <v>691</v>
      </c>
      <c r="B336" s="171" t="s">
        <v>692</v>
      </c>
      <c r="C336" s="171" t="s">
        <v>149</v>
      </c>
      <c r="D336" s="171" t="s">
        <v>80</v>
      </c>
      <c r="E336" s="11">
        <v>41091</v>
      </c>
      <c r="R336" t="e">
        <v>#DIV/0!</v>
      </c>
      <c r="T336">
        <v>0.90399999999999991</v>
      </c>
    </row>
    <row r="337" spans="1:20" x14ac:dyDescent="0.3">
      <c r="A337" t="s">
        <v>693</v>
      </c>
      <c r="B337" s="171" t="s">
        <v>694</v>
      </c>
      <c r="C337" s="171" t="s">
        <v>152</v>
      </c>
      <c r="D337" s="171" t="s">
        <v>80</v>
      </c>
      <c r="E337" s="11">
        <v>41091</v>
      </c>
      <c r="T337">
        <v>0</v>
      </c>
    </row>
    <row r="338" spans="1:20" x14ac:dyDescent="0.3">
      <c r="A338" t="s">
        <v>695</v>
      </c>
      <c r="B338" s="171" t="s">
        <v>696</v>
      </c>
      <c r="C338" s="171" t="s">
        <v>155</v>
      </c>
      <c r="D338" s="171" t="s">
        <v>80</v>
      </c>
      <c r="E338" s="11">
        <v>41091</v>
      </c>
      <c r="R338" t="e">
        <v>#DIV/0!</v>
      </c>
    </row>
    <row r="339" spans="1:20" x14ac:dyDescent="0.3">
      <c r="A339" t="s">
        <v>697</v>
      </c>
      <c r="B339" s="171" t="s">
        <v>698</v>
      </c>
      <c r="C339" s="171" t="s">
        <v>158</v>
      </c>
      <c r="D339" s="171" t="s">
        <v>80</v>
      </c>
      <c r="E339" s="11">
        <v>41091</v>
      </c>
    </row>
    <row r="340" spans="1:20" x14ac:dyDescent="0.3">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x14ac:dyDescent="0.3">
      <c r="A341" t="s">
        <v>701</v>
      </c>
      <c r="B341" s="171" t="s">
        <v>702</v>
      </c>
      <c r="C341" s="171" t="s">
        <v>164</v>
      </c>
      <c r="D341" s="171" t="s">
        <v>80</v>
      </c>
      <c r="E341" s="11">
        <v>41091</v>
      </c>
    </row>
    <row r="342" spans="1:20" x14ac:dyDescent="0.3">
      <c r="A342" t="s">
        <v>703</v>
      </c>
      <c r="B342" s="171" t="s">
        <v>704</v>
      </c>
      <c r="C342" s="171" t="s">
        <v>167</v>
      </c>
      <c r="D342" s="171" t="s">
        <v>4</v>
      </c>
      <c r="E342" s="11">
        <v>41091</v>
      </c>
      <c r="R342" t="e">
        <v>#DIV/0!</v>
      </c>
    </row>
    <row r="343" spans="1:20" x14ac:dyDescent="0.3">
      <c r="A343" t="s">
        <v>705</v>
      </c>
      <c r="B343" s="171" t="s">
        <v>706</v>
      </c>
      <c r="C343" s="171" t="s">
        <v>170</v>
      </c>
      <c r="D343" s="171" t="s">
        <v>80</v>
      </c>
      <c r="E343" s="11">
        <v>41091</v>
      </c>
      <c r="R343" t="e">
        <v>#DIV/0!</v>
      </c>
      <c r="T343">
        <v>0</v>
      </c>
    </row>
    <row r="344" spans="1:20" x14ac:dyDescent="0.3">
      <c r="A344" t="s">
        <v>707</v>
      </c>
      <c r="B344" s="171" t="s">
        <v>708</v>
      </c>
      <c r="C344" s="171" t="s">
        <v>173</v>
      </c>
      <c r="D344" s="171" t="s">
        <v>80</v>
      </c>
      <c r="E344" s="11">
        <v>41091</v>
      </c>
      <c r="P344">
        <v>0</v>
      </c>
      <c r="Q344">
        <v>0</v>
      </c>
      <c r="R344" t="e">
        <v>#DIV/0!</v>
      </c>
    </row>
    <row r="345" spans="1:20" x14ac:dyDescent="0.3">
      <c r="A345" t="s">
        <v>709</v>
      </c>
      <c r="B345" s="171" t="s">
        <v>710</v>
      </c>
      <c r="C345" s="171" t="s">
        <v>176</v>
      </c>
      <c r="D345" s="171" t="s">
        <v>80</v>
      </c>
      <c r="E345" s="11">
        <v>41091</v>
      </c>
      <c r="P345">
        <v>0</v>
      </c>
      <c r="Q345">
        <v>0</v>
      </c>
      <c r="R345" t="e">
        <v>#DIV/0!</v>
      </c>
    </row>
    <row r="346" spans="1:20" x14ac:dyDescent="0.3">
      <c r="A346" t="s">
        <v>711</v>
      </c>
      <c r="B346" s="171" t="s">
        <v>712</v>
      </c>
      <c r="C346" s="171" t="s">
        <v>179</v>
      </c>
      <c r="D346" s="171" t="s">
        <v>4</v>
      </c>
      <c r="E346" s="11">
        <v>41091</v>
      </c>
      <c r="R346" t="e">
        <v>#DIV/0!</v>
      </c>
    </row>
    <row r="347" spans="1:20" x14ac:dyDescent="0.3">
      <c r="A347" t="s">
        <v>713</v>
      </c>
      <c r="B347" s="171" t="s">
        <v>714</v>
      </c>
      <c r="C347" s="171" t="s">
        <v>182</v>
      </c>
      <c r="D347" s="171" t="s">
        <v>80</v>
      </c>
      <c r="E347" s="11">
        <v>41091</v>
      </c>
      <c r="R347" t="e">
        <v>#DIV/0!</v>
      </c>
    </row>
    <row r="348" spans="1:20" x14ac:dyDescent="0.3">
      <c r="A348" t="s">
        <v>715</v>
      </c>
      <c r="B348" s="171" t="s">
        <v>716</v>
      </c>
      <c r="C348" s="171" t="s">
        <v>185</v>
      </c>
      <c r="D348" s="171" t="s">
        <v>4</v>
      </c>
      <c r="E348" s="11">
        <v>41091</v>
      </c>
      <c r="R348" t="e">
        <v>#DIV/0!</v>
      </c>
    </row>
    <row r="349" spans="1:20" x14ac:dyDescent="0.3">
      <c r="A349" t="s">
        <v>717</v>
      </c>
      <c r="B349" s="171" t="s">
        <v>718</v>
      </c>
      <c r="C349" s="171" t="s">
        <v>188</v>
      </c>
      <c r="D349" s="171" t="s">
        <v>80</v>
      </c>
      <c r="E349" s="11">
        <v>41091</v>
      </c>
      <c r="R349" t="e">
        <v>#DIV/0!</v>
      </c>
    </row>
    <row r="350" spans="1:20" x14ac:dyDescent="0.3">
      <c r="A350" t="s">
        <v>719</v>
      </c>
      <c r="B350" s="171" t="s">
        <v>720</v>
      </c>
      <c r="C350" s="171" t="s">
        <v>191</v>
      </c>
      <c r="D350" s="171" t="s">
        <v>4</v>
      </c>
      <c r="E350" s="11">
        <v>41091</v>
      </c>
      <c r="T350">
        <v>0</v>
      </c>
    </row>
    <row r="351" spans="1:20" x14ac:dyDescent="0.3">
      <c r="A351" t="s">
        <v>721</v>
      </c>
      <c r="B351" s="171" t="s">
        <v>722</v>
      </c>
      <c r="C351" s="171" t="s">
        <v>194</v>
      </c>
      <c r="D351" s="171" t="s">
        <v>80</v>
      </c>
      <c r="E351" s="11">
        <v>41091</v>
      </c>
    </row>
    <row r="352" spans="1:20" x14ac:dyDescent="0.3">
      <c r="A352" t="s">
        <v>723</v>
      </c>
      <c r="B352" s="171" t="s">
        <v>724</v>
      </c>
      <c r="C352" s="171" t="s">
        <v>197</v>
      </c>
      <c r="D352" s="171" t="s">
        <v>80</v>
      </c>
      <c r="E352" s="11">
        <v>41091</v>
      </c>
    </row>
    <row r="353" spans="1:19" x14ac:dyDescent="0.3">
      <c r="A353" t="s">
        <v>725</v>
      </c>
      <c r="B353" s="171" t="s">
        <v>726</v>
      </c>
      <c r="C353" s="171" t="s">
        <v>200</v>
      </c>
      <c r="D353" s="171" t="s">
        <v>80</v>
      </c>
      <c r="E353" s="11">
        <v>41091</v>
      </c>
    </row>
    <row r="354" spans="1:19" x14ac:dyDescent="0.3">
      <c r="A354" t="s">
        <v>727</v>
      </c>
      <c r="B354" s="171" t="s">
        <v>728</v>
      </c>
      <c r="C354" s="171" t="s">
        <v>203</v>
      </c>
      <c r="D354" s="171" t="s">
        <v>80</v>
      </c>
      <c r="E354" s="11">
        <v>41091</v>
      </c>
      <c r="R354" t="e">
        <v>#DIV/0!</v>
      </c>
    </row>
    <row r="355" spans="1:19" x14ac:dyDescent="0.3">
      <c r="A355" t="s">
        <v>729</v>
      </c>
      <c r="B355" s="171" t="s">
        <v>730</v>
      </c>
      <c r="C355" s="171" t="s">
        <v>206</v>
      </c>
      <c r="D355" s="171" t="s">
        <v>80</v>
      </c>
      <c r="E355" s="11">
        <v>41091</v>
      </c>
    </row>
    <row r="356" spans="1:19" x14ac:dyDescent="0.3">
      <c r="A356" t="s">
        <v>731</v>
      </c>
      <c r="B356" s="171" t="s">
        <v>732</v>
      </c>
      <c r="C356" s="171" t="s">
        <v>209</v>
      </c>
      <c r="D356" s="171" t="s">
        <v>80</v>
      </c>
      <c r="E356" s="11">
        <v>41091</v>
      </c>
    </row>
    <row r="357" spans="1:19" x14ac:dyDescent="0.3">
      <c r="A357" t="s">
        <v>733</v>
      </c>
      <c r="B357" s="171" t="s">
        <v>734</v>
      </c>
      <c r="C357" s="171" t="s">
        <v>212</v>
      </c>
      <c r="D357" s="171" t="s">
        <v>4</v>
      </c>
      <c r="E357" s="11">
        <v>41091</v>
      </c>
    </row>
    <row r="358" spans="1:19" x14ac:dyDescent="0.3">
      <c r="A358" t="s">
        <v>735</v>
      </c>
      <c r="B358" s="171" t="s">
        <v>736</v>
      </c>
      <c r="C358" s="171" t="s">
        <v>215</v>
      </c>
      <c r="D358" s="171" t="s">
        <v>4</v>
      </c>
      <c r="E358" s="11">
        <v>41091</v>
      </c>
      <c r="R358" t="e">
        <v>#DIV/0!</v>
      </c>
    </row>
    <row r="359" spans="1:19" x14ac:dyDescent="0.3">
      <c r="A359" t="s">
        <v>737</v>
      </c>
      <c r="B359" s="171" t="s">
        <v>738</v>
      </c>
      <c r="C359" s="171" t="s">
        <v>218</v>
      </c>
      <c r="D359" s="171" t="s">
        <v>80</v>
      </c>
      <c r="E359" s="11">
        <v>41091</v>
      </c>
      <c r="R359" t="e">
        <v>#DIV/0!</v>
      </c>
    </row>
    <row r="360" spans="1:19" x14ac:dyDescent="0.3">
      <c r="A360" t="s">
        <v>739</v>
      </c>
      <c r="B360" s="171" t="s">
        <v>740</v>
      </c>
      <c r="C360" s="171" t="s">
        <v>221</v>
      </c>
      <c r="D360" s="171" t="s">
        <v>4</v>
      </c>
      <c r="E360" s="11">
        <v>41091</v>
      </c>
      <c r="R360" t="e">
        <v>#DIV/0!</v>
      </c>
    </row>
    <row r="361" spans="1:19" x14ac:dyDescent="0.3">
      <c r="A361" t="s">
        <v>741</v>
      </c>
      <c r="B361" s="171" t="s">
        <v>742</v>
      </c>
      <c r="C361" s="171" t="s">
        <v>224</v>
      </c>
      <c r="D361" s="171" t="s">
        <v>80</v>
      </c>
      <c r="E361" s="11">
        <v>41091</v>
      </c>
    </row>
    <row r="362" spans="1:19" x14ac:dyDescent="0.3">
      <c r="A362" t="s">
        <v>743</v>
      </c>
      <c r="B362" s="171" t="s">
        <v>744</v>
      </c>
      <c r="C362" s="171" t="s">
        <v>227</v>
      </c>
      <c r="D362" s="171" t="s">
        <v>80</v>
      </c>
      <c r="E362" s="11">
        <v>41091</v>
      </c>
      <c r="R362" t="e">
        <v>#DIV/0!</v>
      </c>
    </row>
    <row r="363" spans="1:19" x14ac:dyDescent="0.3">
      <c r="A363" t="s">
        <v>745</v>
      </c>
      <c r="B363" s="171" t="s">
        <v>746</v>
      </c>
      <c r="C363" s="171" t="s">
        <v>230</v>
      </c>
      <c r="D363" s="171" t="s">
        <v>80</v>
      </c>
      <c r="E363" s="11">
        <v>41091</v>
      </c>
    </row>
    <row r="364" spans="1:19" x14ac:dyDescent="0.3">
      <c r="A364" t="s">
        <v>747</v>
      </c>
      <c r="B364" s="171" t="s">
        <v>748</v>
      </c>
      <c r="C364" s="171" t="s">
        <v>233</v>
      </c>
      <c r="D364" s="171" t="s">
        <v>4</v>
      </c>
      <c r="E364" s="11">
        <v>41091</v>
      </c>
      <c r="P364">
        <v>3</v>
      </c>
      <c r="Q364">
        <v>4</v>
      </c>
      <c r="R364">
        <v>0.75</v>
      </c>
    </row>
    <row r="365" spans="1:19" x14ac:dyDescent="0.3">
      <c r="A365" t="s">
        <v>749</v>
      </c>
      <c r="B365" s="171" t="s">
        <v>750</v>
      </c>
      <c r="C365" s="171" t="s">
        <v>236</v>
      </c>
      <c r="D365" s="171" t="s">
        <v>80</v>
      </c>
      <c r="E365" s="11">
        <v>41091</v>
      </c>
      <c r="O365">
        <v>0.82499999999999996</v>
      </c>
      <c r="P365">
        <v>3</v>
      </c>
      <c r="Q365">
        <v>4</v>
      </c>
      <c r="R365">
        <v>0.75</v>
      </c>
    </row>
    <row r="366" spans="1:19" x14ac:dyDescent="0.3">
      <c r="A366" t="s">
        <v>751</v>
      </c>
      <c r="B366" s="171" t="s">
        <v>752</v>
      </c>
      <c r="C366" s="171" t="s">
        <v>239</v>
      </c>
      <c r="D366" s="171" t="s">
        <v>80</v>
      </c>
      <c r="E366" s="11">
        <v>41091</v>
      </c>
    </row>
    <row r="367" spans="1:19" x14ac:dyDescent="0.3">
      <c r="A367" t="s">
        <v>753</v>
      </c>
      <c r="B367" s="171" t="s">
        <v>754</v>
      </c>
      <c r="C367" s="171" t="s">
        <v>76</v>
      </c>
      <c r="D367" s="171" t="s">
        <v>80</v>
      </c>
      <c r="E367" s="11">
        <v>41091</v>
      </c>
    </row>
    <row r="368" spans="1:19" x14ac:dyDescent="0.3">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x14ac:dyDescent="0.3">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x14ac:dyDescent="0.3">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x14ac:dyDescent="0.3">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x14ac:dyDescent="0.3">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x14ac:dyDescent="0.3">
      <c r="A374" t="s">
        <v>767</v>
      </c>
      <c r="B374" s="171" t="s">
        <v>768</v>
      </c>
      <c r="C374" s="171" t="s">
        <v>107</v>
      </c>
      <c r="D374" s="171" t="s">
        <v>80</v>
      </c>
      <c r="E374" s="11">
        <v>41091</v>
      </c>
      <c r="N374">
        <v>0</v>
      </c>
      <c r="S374">
        <v>0</v>
      </c>
    </row>
    <row r="375" spans="1:20" x14ac:dyDescent="0.3">
      <c r="A375" t="s">
        <v>769</v>
      </c>
      <c r="B375" s="171" t="s">
        <v>770</v>
      </c>
      <c r="C375" s="171" t="s">
        <v>110</v>
      </c>
      <c r="D375" s="171" t="s">
        <v>4</v>
      </c>
      <c r="E375" s="11">
        <v>41091</v>
      </c>
      <c r="R375" t="e">
        <v>#DIV/0!</v>
      </c>
    </row>
    <row r="376" spans="1:20" x14ac:dyDescent="0.3">
      <c r="A376" t="s">
        <v>771</v>
      </c>
      <c r="B376" s="171" t="s">
        <v>772</v>
      </c>
      <c r="C376" s="171" t="s">
        <v>113</v>
      </c>
      <c r="D376" s="171" t="s">
        <v>4</v>
      </c>
      <c r="E376" s="11">
        <v>41091</v>
      </c>
      <c r="R376" t="e">
        <v>#DIV/0!</v>
      </c>
    </row>
    <row r="377" spans="1:20" x14ac:dyDescent="0.3">
      <c r="A377" t="s">
        <v>773</v>
      </c>
      <c r="B377" s="171" t="s">
        <v>774</v>
      </c>
      <c r="C377" s="171" t="s">
        <v>116</v>
      </c>
      <c r="D377" s="171" t="s">
        <v>4</v>
      </c>
      <c r="E377" s="11">
        <v>41091</v>
      </c>
      <c r="R377" t="e">
        <v>#DIV/0!</v>
      </c>
    </row>
    <row r="378" spans="1:20" x14ac:dyDescent="0.3">
      <c r="A378" t="s">
        <v>775</v>
      </c>
      <c r="B378" s="171" t="s">
        <v>776</v>
      </c>
      <c r="C378" s="171" t="s">
        <v>119</v>
      </c>
      <c r="D378" s="171" t="s">
        <v>4</v>
      </c>
      <c r="E378" s="11">
        <v>41091</v>
      </c>
    </row>
    <row r="379" spans="1:20" x14ac:dyDescent="0.3">
      <c r="A379" t="s">
        <v>777</v>
      </c>
      <c r="B379" s="171" t="s">
        <v>778</v>
      </c>
      <c r="C379" s="171" t="s">
        <v>122</v>
      </c>
      <c r="D379" s="171" t="s">
        <v>80</v>
      </c>
      <c r="E379" s="11">
        <v>41091</v>
      </c>
      <c r="T379">
        <v>0.85019999999999996</v>
      </c>
    </row>
    <row r="380" spans="1:20" x14ac:dyDescent="0.3">
      <c r="A380" t="s">
        <v>779</v>
      </c>
      <c r="B380" s="171" t="s">
        <v>780</v>
      </c>
      <c r="C380" s="171" t="s">
        <v>125</v>
      </c>
      <c r="D380" s="171" t="s">
        <v>80</v>
      </c>
      <c r="E380" s="11">
        <v>41091</v>
      </c>
      <c r="P380">
        <v>0</v>
      </c>
      <c r="Q380">
        <v>0</v>
      </c>
      <c r="T380">
        <v>0.84399999999999997</v>
      </c>
    </row>
    <row r="381" spans="1:20" x14ac:dyDescent="0.3">
      <c r="A381" t="s">
        <v>781</v>
      </c>
      <c r="B381" s="171" t="s">
        <v>782</v>
      </c>
      <c r="C381" s="171" t="s">
        <v>128</v>
      </c>
      <c r="D381" s="171" t="s">
        <v>4</v>
      </c>
      <c r="E381" s="11">
        <v>41091</v>
      </c>
      <c r="T381">
        <v>0.96399999999999997</v>
      </c>
    </row>
    <row r="382" spans="1:20" x14ac:dyDescent="0.3">
      <c r="A382" t="s">
        <v>783</v>
      </c>
      <c r="B382" s="171" t="s">
        <v>784</v>
      </c>
      <c r="C382" s="171" t="s">
        <v>131</v>
      </c>
      <c r="D382" s="171" t="s">
        <v>4</v>
      </c>
      <c r="E382" s="11">
        <v>41091</v>
      </c>
    </row>
    <row r="383" spans="1:20" x14ac:dyDescent="0.3">
      <c r="A383" t="s">
        <v>785</v>
      </c>
      <c r="B383" s="171" t="s">
        <v>786</v>
      </c>
      <c r="C383" s="171" t="s">
        <v>134</v>
      </c>
      <c r="D383" s="171" t="s">
        <v>4</v>
      </c>
      <c r="E383" s="11">
        <v>41091</v>
      </c>
    </row>
    <row r="384" spans="1:20" x14ac:dyDescent="0.3">
      <c r="A384" t="s">
        <v>787</v>
      </c>
      <c r="B384" s="171" t="s">
        <v>788</v>
      </c>
      <c r="C384" s="171" t="s">
        <v>137</v>
      </c>
      <c r="D384" s="171" t="s">
        <v>80</v>
      </c>
      <c r="E384" s="11">
        <v>41091</v>
      </c>
      <c r="R384" t="e">
        <v>#DIV/0!</v>
      </c>
      <c r="T384">
        <v>0</v>
      </c>
    </row>
    <row r="385" spans="1:20" x14ac:dyDescent="0.3">
      <c r="A385" t="s">
        <v>789</v>
      </c>
      <c r="B385" s="171" t="s">
        <v>790</v>
      </c>
      <c r="C385" s="171" t="s">
        <v>140</v>
      </c>
      <c r="D385" s="171" t="s">
        <v>4</v>
      </c>
      <c r="E385" s="11">
        <v>41091</v>
      </c>
      <c r="R385" t="e">
        <v>#DIV/0!</v>
      </c>
      <c r="T385">
        <v>0</v>
      </c>
    </row>
    <row r="386" spans="1:20" x14ac:dyDescent="0.3">
      <c r="A386" t="s">
        <v>791</v>
      </c>
      <c r="B386" s="171" t="s">
        <v>792</v>
      </c>
      <c r="C386" s="171" t="s">
        <v>167</v>
      </c>
      <c r="D386" s="171" t="s">
        <v>80</v>
      </c>
      <c r="E386" s="11">
        <v>41091</v>
      </c>
      <c r="R386" t="e">
        <v>#DIV/0!</v>
      </c>
      <c r="T386">
        <v>0</v>
      </c>
    </row>
    <row r="387" spans="1:20" x14ac:dyDescent="0.3">
      <c r="A387" t="s">
        <v>793</v>
      </c>
      <c r="B387" s="171" t="s">
        <v>794</v>
      </c>
      <c r="C387" s="171" t="s">
        <v>170</v>
      </c>
      <c r="D387" s="171" t="s">
        <v>4</v>
      </c>
      <c r="E387" s="11">
        <v>41091</v>
      </c>
      <c r="R387" t="e">
        <v>#DIV/0!</v>
      </c>
      <c r="T387">
        <v>0.84399999999999997</v>
      </c>
    </row>
    <row r="388" spans="1:20" x14ac:dyDescent="0.3">
      <c r="A388" t="s">
        <v>795</v>
      </c>
      <c r="B388" s="171" t="s">
        <v>796</v>
      </c>
      <c r="C388" s="171" t="s">
        <v>179</v>
      </c>
      <c r="D388" s="171" t="s">
        <v>80</v>
      </c>
      <c r="E388" s="11">
        <v>41091</v>
      </c>
      <c r="R388" t="e">
        <v>#DIV/0!</v>
      </c>
      <c r="T388">
        <v>0.96399999999999997</v>
      </c>
    </row>
    <row r="389" spans="1:20" x14ac:dyDescent="0.3">
      <c r="A389" t="s">
        <v>797</v>
      </c>
      <c r="B389" s="171" t="s">
        <v>798</v>
      </c>
      <c r="C389" s="171" t="s">
        <v>182</v>
      </c>
      <c r="D389" s="171" t="s">
        <v>4</v>
      </c>
      <c r="E389" s="11">
        <v>41091</v>
      </c>
      <c r="R389" t="e">
        <v>#DIV/0!</v>
      </c>
      <c r="T389">
        <v>0</v>
      </c>
    </row>
    <row r="390" spans="1:20" x14ac:dyDescent="0.3">
      <c r="A390" t="s">
        <v>799</v>
      </c>
      <c r="B390" s="171" t="s">
        <v>800</v>
      </c>
      <c r="C390" s="171" t="s">
        <v>185</v>
      </c>
      <c r="D390" s="171" t="s">
        <v>80</v>
      </c>
      <c r="E390" s="11">
        <v>41091</v>
      </c>
      <c r="R390" t="e">
        <v>#DIV/0!</v>
      </c>
      <c r="T390">
        <v>0</v>
      </c>
    </row>
    <row r="391" spans="1:20" x14ac:dyDescent="0.3">
      <c r="A391" t="s">
        <v>801</v>
      </c>
      <c r="B391" s="171" t="s">
        <v>802</v>
      </c>
      <c r="C391" s="171" t="s">
        <v>188</v>
      </c>
      <c r="D391" s="171" t="s">
        <v>4</v>
      </c>
      <c r="E391" s="11">
        <v>41091</v>
      </c>
      <c r="R391" t="e">
        <v>#DIV/0!</v>
      </c>
      <c r="T391">
        <v>0</v>
      </c>
    </row>
    <row r="392" spans="1:20" x14ac:dyDescent="0.3">
      <c r="A392" t="s">
        <v>803</v>
      </c>
      <c r="B392" s="171" t="s">
        <v>804</v>
      </c>
      <c r="C392" s="171" t="s">
        <v>191</v>
      </c>
      <c r="D392" s="171" t="s">
        <v>80</v>
      </c>
      <c r="E392" s="11">
        <v>41091</v>
      </c>
      <c r="T392">
        <v>0.90400000000000003</v>
      </c>
    </row>
    <row r="393" spans="1:20" x14ac:dyDescent="0.3">
      <c r="A393" t="s">
        <v>805</v>
      </c>
      <c r="B393" s="171" t="s">
        <v>806</v>
      </c>
      <c r="C393" s="171" t="s">
        <v>194</v>
      </c>
      <c r="D393" s="171" t="s">
        <v>4</v>
      </c>
      <c r="E393" s="11">
        <v>41091</v>
      </c>
      <c r="T393">
        <v>0</v>
      </c>
    </row>
    <row r="394" spans="1:20" x14ac:dyDescent="0.3">
      <c r="A394" t="s">
        <v>807</v>
      </c>
      <c r="B394" s="171" t="s">
        <v>808</v>
      </c>
      <c r="C394" s="171" t="s">
        <v>197</v>
      </c>
      <c r="D394" s="171" t="s">
        <v>4</v>
      </c>
      <c r="E394" s="11">
        <v>41091</v>
      </c>
    </row>
    <row r="395" spans="1:20" x14ac:dyDescent="0.3">
      <c r="A395" t="s">
        <v>809</v>
      </c>
      <c r="B395" s="171" t="s">
        <v>810</v>
      </c>
      <c r="C395" s="171" t="s">
        <v>209</v>
      </c>
      <c r="D395" s="171" t="s">
        <v>4</v>
      </c>
      <c r="E395" s="11">
        <v>41091</v>
      </c>
    </row>
    <row r="396" spans="1:20" x14ac:dyDescent="0.3">
      <c r="A396" t="s">
        <v>811</v>
      </c>
      <c r="B396" s="171" t="s">
        <v>812</v>
      </c>
      <c r="C396" s="171" t="s">
        <v>212</v>
      </c>
      <c r="D396" s="171" t="s">
        <v>80</v>
      </c>
      <c r="E396" s="11">
        <v>41091</v>
      </c>
    </row>
    <row r="397" spans="1:20" x14ac:dyDescent="0.3">
      <c r="A397" t="s">
        <v>813</v>
      </c>
      <c r="B397" s="171" t="s">
        <v>814</v>
      </c>
      <c r="C397" s="171" t="s">
        <v>215</v>
      </c>
      <c r="D397" s="171" t="s">
        <v>80</v>
      </c>
      <c r="E397" s="11">
        <v>41091</v>
      </c>
      <c r="R397" t="e">
        <v>#DIV/0!</v>
      </c>
    </row>
    <row r="398" spans="1:20" x14ac:dyDescent="0.3">
      <c r="A398" t="s">
        <v>815</v>
      </c>
      <c r="B398" s="171" t="s">
        <v>816</v>
      </c>
      <c r="C398" s="171" t="s">
        <v>218</v>
      </c>
      <c r="D398" s="171" t="s">
        <v>4</v>
      </c>
      <c r="E398" s="11">
        <v>41091</v>
      </c>
      <c r="R398" t="e">
        <v>#DIV/0!</v>
      </c>
    </row>
    <row r="399" spans="1:20" x14ac:dyDescent="0.3">
      <c r="A399" t="s">
        <v>817</v>
      </c>
      <c r="B399" s="171" t="s">
        <v>818</v>
      </c>
      <c r="C399" s="171" t="s">
        <v>233</v>
      </c>
      <c r="D399" s="171" t="s">
        <v>80</v>
      </c>
      <c r="E399" s="11">
        <v>41091</v>
      </c>
      <c r="P399">
        <v>3</v>
      </c>
      <c r="Q399">
        <v>4</v>
      </c>
      <c r="R399">
        <v>0.75</v>
      </c>
      <c r="T399">
        <v>0</v>
      </c>
    </row>
    <row r="400" spans="1:20" x14ac:dyDescent="0.3">
      <c r="A400" t="s">
        <v>819</v>
      </c>
      <c r="B400" s="171" t="s">
        <v>820</v>
      </c>
      <c r="C400" s="171" t="s">
        <v>236</v>
      </c>
      <c r="D400" s="171" t="s">
        <v>4</v>
      </c>
      <c r="E400" s="11">
        <v>41091</v>
      </c>
      <c r="O400">
        <v>0.82499999999999996</v>
      </c>
      <c r="P400">
        <v>3</v>
      </c>
      <c r="Q400">
        <v>4</v>
      </c>
      <c r="R400">
        <v>0.75</v>
      </c>
    </row>
    <row r="401" spans="1:20" x14ac:dyDescent="0.3">
      <c r="A401" t="s">
        <v>821</v>
      </c>
      <c r="B401" s="171" t="s">
        <v>822</v>
      </c>
      <c r="C401" s="171" t="s">
        <v>239</v>
      </c>
      <c r="D401" s="171" t="s">
        <v>4</v>
      </c>
      <c r="E401" s="11">
        <v>41091</v>
      </c>
    </row>
    <row r="402" spans="1:20" x14ac:dyDescent="0.3">
      <c r="A402" t="s">
        <v>823</v>
      </c>
      <c r="B402" s="171" t="s">
        <v>824</v>
      </c>
      <c r="C402" s="171" t="s">
        <v>143</v>
      </c>
      <c r="D402" s="171" t="s">
        <v>4</v>
      </c>
      <c r="E402" s="11">
        <v>41091</v>
      </c>
    </row>
    <row r="403" spans="1:20" x14ac:dyDescent="0.3">
      <c r="A403" t="s">
        <v>825</v>
      </c>
      <c r="B403" s="171" t="s">
        <v>826</v>
      </c>
      <c r="C403" s="171" t="s">
        <v>146</v>
      </c>
      <c r="D403" s="171" t="s">
        <v>80</v>
      </c>
      <c r="E403" s="11">
        <v>41091</v>
      </c>
      <c r="N403">
        <v>0</v>
      </c>
      <c r="P403">
        <v>0</v>
      </c>
      <c r="Q403">
        <v>0</v>
      </c>
      <c r="R403" t="e">
        <v>#DIV/0!</v>
      </c>
      <c r="S403">
        <v>0</v>
      </c>
    </row>
    <row r="404" spans="1:20" x14ac:dyDescent="0.3">
      <c r="A404" t="s">
        <v>827</v>
      </c>
      <c r="B404" s="171" t="s">
        <v>828</v>
      </c>
      <c r="C404" s="171" t="s">
        <v>149</v>
      </c>
      <c r="D404" s="171" t="s">
        <v>4</v>
      </c>
      <c r="E404" s="11">
        <v>41091</v>
      </c>
      <c r="R404" t="e">
        <v>#DIV/0!</v>
      </c>
    </row>
    <row r="405" spans="1:20" x14ac:dyDescent="0.3">
      <c r="A405" t="s">
        <v>829</v>
      </c>
      <c r="B405" s="171" t="s">
        <v>830</v>
      </c>
      <c r="C405" s="171" t="s">
        <v>152</v>
      </c>
      <c r="D405" s="171" t="s">
        <v>4</v>
      </c>
      <c r="E405" s="11">
        <v>41091</v>
      </c>
    </row>
    <row r="406" spans="1:20" x14ac:dyDescent="0.3">
      <c r="A406" t="s">
        <v>831</v>
      </c>
      <c r="B406" s="171" t="s">
        <v>832</v>
      </c>
      <c r="C406" s="171" t="s">
        <v>155</v>
      </c>
      <c r="D406" s="171" t="s">
        <v>4</v>
      </c>
      <c r="E406" s="11">
        <v>41091</v>
      </c>
      <c r="R406" t="e">
        <v>#DIV/0!</v>
      </c>
      <c r="T406">
        <v>0</v>
      </c>
    </row>
    <row r="407" spans="1:20" x14ac:dyDescent="0.3">
      <c r="A407" t="s">
        <v>833</v>
      </c>
      <c r="B407" s="171" t="s">
        <v>834</v>
      </c>
      <c r="C407" s="171" t="s">
        <v>158</v>
      </c>
      <c r="D407" s="171" t="s">
        <v>4</v>
      </c>
      <c r="E407" s="11">
        <v>41091</v>
      </c>
    </row>
    <row r="408" spans="1:20" x14ac:dyDescent="0.3">
      <c r="A408" t="s">
        <v>835</v>
      </c>
      <c r="B408" s="171" t="s">
        <v>836</v>
      </c>
      <c r="C408" s="171" t="s">
        <v>164</v>
      </c>
      <c r="D408" s="171" t="s">
        <v>4</v>
      </c>
      <c r="E408" s="11">
        <v>41091</v>
      </c>
    </row>
    <row r="409" spans="1:20" x14ac:dyDescent="0.3">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x14ac:dyDescent="0.3">
      <c r="A410" t="s">
        <v>839</v>
      </c>
      <c r="B410" s="171" t="s">
        <v>840</v>
      </c>
      <c r="C410" s="171" t="s">
        <v>221</v>
      </c>
      <c r="D410" s="171" t="s">
        <v>80</v>
      </c>
      <c r="E410" s="11">
        <v>41091</v>
      </c>
      <c r="R410" t="e">
        <v>#DIV/0!</v>
      </c>
    </row>
    <row r="411" spans="1:20" x14ac:dyDescent="0.3">
      <c r="A411" t="s">
        <v>841</v>
      </c>
      <c r="B411" s="171" t="s">
        <v>842</v>
      </c>
      <c r="C411" s="171" t="s">
        <v>224</v>
      </c>
      <c r="D411" s="171" t="s">
        <v>4</v>
      </c>
      <c r="E411" s="11">
        <v>41091</v>
      </c>
    </row>
    <row r="412" spans="1:20" x14ac:dyDescent="0.3">
      <c r="A412" t="s">
        <v>843</v>
      </c>
      <c r="B412" s="171" t="s">
        <v>844</v>
      </c>
      <c r="C412" s="171" t="s">
        <v>227</v>
      </c>
      <c r="D412" s="171" t="s">
        <v>4</v>
      </c>
      <c r="E412" s="11">
        <v>41091</v>
      </c>
      <c r="R412" t="e">
        <v>#DIV/0!</v>
      </c>
    </row>
    <row r="413" spans="1:20" x14ac:dyDescent="0.3">
      <c r="A413" t="s">
        <v>845</v>
      </c>
      <c r="B413" s="171" t="s">
        <v>846</v>
      </c>
      <c r="C413" s="171" t="s">
        <v>230</v>
      </c>
      <c r="D413" s="171" t="s">
        <v>4</v>
      </c>
      <c r="E413" s="11">
        <v>41091</v>
      </c>
    </row>
    <row r="414" spans="1:20" x14ac:dyDescent="0.3">
      <c r="A414" t="s">
        <v>847</v>
      </c>
      <c r="B414" s="171" t="s">
        <v>848</v>
      </c>
      <c r="C414" s="171" t="s">
        <v>73</v>
      </c>
      <c r="D414" s="171" t="s">
        <v>4</v>
      </c>
      <c r="E414" s="11">
        <v>41122</v>
      </c>
      <c r="F414">
        <v>1</v>
      </c>
      <c r="G414">
        <v>2.5</v>
      </c>
      <c r="H414">
        <v>0.4</v>
      </c>
      <c r="I414">
        <v>2</v>
      </c>
      <c r="K414" t="e">
        <v>#DIV/0!</v>
      </c>
      <c r="L414">
        <v>14.5</v>
      </c>
      <c r="M414">
        <v>0</v>
      </c>
      <c r="R414" t="e">
        <v>#DIV/0!</v>
      </c>
    </row>
    <row r="415" spans="1:20" x14ac:dyDescent="0.3">
      <c r="A415" t="s">
        <v>849</v>
      </c>
      <c r="B415" s="171" t="s">
        <v>850</v>
      </c>
      <c r="C415" s="171" t="s">
        <v>76</v>
      </c>
      <c r="D415" s="171" t="s">
        <v>4</v>
      </c>
      <c r="E415" s="11">
        <v>41122</v>
      </c>
      <c r="F415">
        <v>1</v>
      </c>
      <c r="G415">
        <v>2.5</v>
      </c>
      <c r="H415">
        <v>0.4</v>
      </c>
      <c r="I415">
        <v>2</v>
      </c>
      <c r="K415" t="e">
        <v>#DIV/0!</v>
      </c>
      <c r="L415">
        <v>14.5</v>
      </c>
      <c r="M415">
        <v>0</v>
      </c>
      <c r="R415" t="e">
        <v>#DIV/0!</v>
      </c>
    </row>
    <row r="416" spans="1:20" x14ac:dyDescent="0.3">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x14ac:dyDescent="0.3">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x14ac:dyDescent="0.3">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x14ac:dyDescent="0.3">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x14ac:dyDescent="0.3">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x14ac:dyDescent="0.3">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x14ac:dyDescent="0.3">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x14ac:dyDescent="0.3">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x14ac:dyDescent="0.3">
      <c r="A426" t="s">
        <v>871</v>
      </c>
      <c r="B426" s="171" t="s">
        <v>872</v>
      </c>
      <c r="C426" s="171" t="s">
        <v>110</v>
      </c>
      <c r="D426" s="171" t="s">
        <v>80</v>
      </c>
      <c r="E426" s="11">
        <v>41122</v>
      </c>
      <c r="H426" t="e">
        <v>#DIV/0!</v>
      </c>
      <c r="I426">
        <v>2</v>
      </c>
      <c r="L426">
        <v>0</v>
      </c>
      <c r="M426" t="e">
        <v>#DIV/0!</v>
      </c>
      <c r="R426" t="e">
        <v>#DIV/0!</v>
      </c>
    </row>
    <row r="427" spans="1:19" x14ac:dyDescent="0.3">
      <c r="A427" t="s">
        <v>873</v>
      </c>
      <c r="B427" s="171" t="s">
        <v>874</v>
      </c>
      <c r="C427" s="171" t="s">
        <v>113</v>
      </c>
      <c r="D427" s="171" t="s">
        <v>80</v>
      </c>
      <c r="E427" s="11">
        <v>41122</v>
      </c>
      <c r="F427">
        <v>6</v>
      </c>
      <c r="G427">
        <v>4</v>
      </c>
      <c r="H427">
        <v>1.5</v>
      </c>
      <c r="K427" t="e">
        <v>#DIV/0!</v>
      </c>
      <c r="L427">
        <v>20</v>
      </c>
      <c r="M427">
        <v>0</v>
      </c>
      <c r="R427" t="e">
        <v>#DIV/0!</v>
      </c>
    </row>
    <row r="428" spans="1:19" x14ac:dyDescent="0.3">
      <c r="A428" t="s">
        <v>875</v>
      </c>
      <c r="B428" s="171" t="s">
        <v>876</v>
      </c>
      <c r="C428" s="171" t="s">
        <v>116</v>
      </c>
      <c r="D428" s="171" t="s">
        <v>80</v>
      </c>
      <c r="E428" s="11">
        <v>41122</v>
      </c>
      <c r="H428" t="e">
        <v>#DIV/0!</v>
      </c>
      <c r="M428" t="e">
        <v>#DIV/0!</v>
      </c>
      <c r="R428" t="e">
        <v>#DIV/0!</v>
      </c>
    </row>
    <row r="429" spans="1:19" x14ac:dyDescent="0.3">
      <c r="A429" t="s">
        <v>877</v>
      </c>
      <c r="B429" s="171" t="s">
        <v>878</v>
      </c>
      <c r="C429" s="171" t="s">
        <v>119</v>
      </c>
      <c r="D429" s="171" t="s">
        <v>80</v>
      </c>
      <c r="E429" s="11">
        <v>41122</v>
      </c>
      <c r="H429" t="e">
        <v>#DIV/0!</v>
      </c>
      <c r="K429" t="e">
        <v>#DIV/0!</v>
      </c>
      <c r="M429" t="e">
        <v>#DIV/0!</v>
      </c>
      <c r="R429" t="e">
        <v>#DIV/0!</v>
      </c>
    </row>
    <row r="430" spans="1:19" x14ac:dyDescent="0.3">
      <c r="A430" t="s">
        <v>879</v>
      </c>
      <c r="B430" s="171" t="s">
        <v>880</v>
      </c>
      <c r="C430" s="171" t="s">
        <v>122</v>
      </c>
      <c r="D430" s="171" t="s">
        <v>4</v>
      </c>
      <c r="E430" s="11">
        <v>41122</v>
      </c>
      <c r="H430" t="e">
        <v>#DIV/0!</v>
      </c>
      <c r="K430" t="e">
        <v>#DIV/0!</v>
      </c>
      <c r="M430" t="e">
        <v>#DIV/0!</v>
      </c>
      <c r="R430" t="e">
        <v>#DIV/0!</v>
      </c>
    </row>
    <row r="431" spans="1:19" x14ac:dyDescent="0.3">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x14ac:dyDescent="0.3">
      <c r="A432" t="s">
        <v>883</v>
      </c>
      <c r="B432" s="171" t="s">
        <v>884</v>
      </c>
      <c r="C432" s="171" t="s">
        <v>128</v>
      </c>
      <c r="D432" s="171" t="s">
        <v>80</v>
      </c>
      <c r="E432" s="11">
        <v>41122</v>
      </c>
    </row>
    <row r="433" spans="1:20" x14ac:dyDescent="0.3">
      <c r="A433" t="s">
        <v>885</v>
      </c>
      <c r="B433" s="171" t="s">
        <v>886</v>
      </c>
      <c r="C433" s="171" t="s">
        <v>131</v>
      </c>
      <c r="D433" s="171" t="s">
        <v>80</v>
      </c>
      <c r="E433" s="11">
        <v>41122</v>
      </c>
      <c r="F433">
        <v>6</v>
      </c>
      <c r="G433">
        <v>4</v>
      </c>
      <c r="H433">
        <v>1.5</v>
      </c>
      <c r="K433" t="e">
        <v>#DIV/0!</v>
      </c>
      <c r="L433">
        <v>27.5</v>
      </c>
      <c r="M433">
        <v>0</v>
      </c>
      <c r="R433" t="e">
        <v>#DIV/0!</v>
      </c>
    </row>
    <row r="434" spans="1:20" x14ac:dyDescent="0.3">
      <c r="A434" t="s">
        <v>887</v>
      </c>
      <c r="B434" s="171" t="s">
        <v>888</v>
      </c>
      <c r="C434" s="171" t="s">
        <v>134</v>
      </c>
      <c r="D434" s="171" t="s">
        <v>80</v>
      </c>
      <c r="E434" s="11">
        <v>41122</v>
      </c>
    </row>
    <row r="435" spans="1:20" x14ac:dyDescent="0.3">
      <c r="A435" t="s">
        <v>889</v>
      </c>
      <c r="B435" s="171" t="s">
        <v>890</v>
      </c>
      <c r="C435" s="171" t="s">
        <v>137</v>
      </c>
      <c r="D435" s="171" t="s">
        <v>4</v>
      </c>
      <c r="E435" s="11">
        <v>41122</v>
      </c>
      <c r="R435" t="e">
        <v>#DIV/0!</v>
      </c>
      <c r="T435">
        <v>0.85019999999999996</v>
      </c>
    </row>
    <row r="436" spans="1:20" x14ac:dyDescent="0.3">
      <c r="A436" t="s">
        <v>891</v>
      </c>
      <c r="B436" s="171" t="s">
        <v>892</v>
      </c>
      <c r="C436" s="171" t="s">
        <v>140</v>
      </c>
      <c r="D436" s="171" t="s">
        <v>80</v>
      </c>
      <c r="E436" s="11">
        <v>41122</v>
      </c>
      <c r="R436" t="e">
        <v>#DIV/0!</v>
      </c>
      <c r="T436">
        <v>0.84399999999999997</v>
      </c>
    </row>
    <row r="437" spans="1:20" x14ac:dyDescent="0.3">
      <c r="A437" t="s">
        <v>893</v>
      </c>
      <c r="B437" s="171" t="s">
        <v>894</v>
      </c>
      <c r="C437" s="171" t="s">
        <v>143</v>
      </c>
      <c r="D437" s="171" t="s">
        <v>80</v>
      </c>
      <c r="E437" s="11">
        <v>41122</v>
      </c>
      <c r="T437">
        <v>0.96399999999999997</v>
      </c>
    </row>
    <row r="438" spans="1:20" x14ac:dyDescent="0.3">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x14ac:dyDescent="0.3">
      <c r="A439" t="s">
        <v>897</v>
      </c>
      <c r="B439" s="171" t="s">
        <v>898</v>
      </c>
      <c r="C439" s="171" t="s">
        <v>149</v>
      </c>
      <c r="D439" s="171" t="s">
        <v>80</v>
      </c>
      <c r="E439" s="11">
        <v>41122</v>
      </c>
      <c r="H439" t="e">
        <v>#DIV/0!</v>
      </c>
      <c r="K439" t="e">
        <v>#DIV/0!</v>
      </c>
      <c r="M439" t="e">
        <v>#DIV/0!</v>
      </c>
      <c r="R439" t="e">
        <v>#DIV/0!</v>
      </c>
    </row>
    <row r="440" spans="1:20" x14ac:dyDescent="0.3">
      <c r="A440" t="s">
        <v>899</v>
      </c>
      <c r="B440" s="171" t="s">
        <v>900</v>
      </c>
      <c r="C440" s="171" t="s">
        <v>152</v>
      </c>
      <c r="D440" s="171" t="s">
        <v>80</v>
      </c>
      <c r="E440" s="11">
        <v>41122</v>
      </c>
      <c r="T440">
        <v>0</v>
      </c>
    </row>
    <row r="441" spans="1:20" x14ac:dyDescent="0.3">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x14ac:dyDescent="0.3">
      <c r="A442" t="s">
        <v>903</v>
      </c>
      <c r="B442" s="171" t="s">
        <v>904</v>
      </c>
      <c r="C442" s="171" t="s">
        <v>158</v>
      </c>
      <c r="D442" s="171" t="s">
        <v>80</v>
      </c>
      <c r="E442" s="11">
        <v>41122</v>
      </c>
      <c r="H442" t="e">
        <v>#DIV/0!</v>
      </c>
      <c r="K442" t="e">
        <v>#DIV/0!</v>
      </c>
      <c r="M442" t="e">
        <v>#DIV/0!</v>
      </c>
      <c r="R442" t="e">
        <v>#DIV/0!</v>
      </c>
      <c r="T442">
        <v>0</v>
      </c>
    </row>
    <row r="443" spans="1:20" x14ac:dyDescent="0.3">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x14ac:dyDescent="0.3">
      <c r="A445" t="s">
        <v>909</v>
      </c>
      <c r="B445" s="171" t="s">
        <v>910</v>
      </c>
      <c r="C445" s="171" t="s">
        <v>167</v>
      </c>
      <c r="D445" s="171" t="s">
        <v>4</v>
      </c>
      <c r="E445" s="11">
        <v>41122</v>
      </c>
      <c r="R445" t="e">
        <v>#DIV/0!</v>
      </c>
      <c r="T445">
        <v>0</v>
      </c>
    </row>
    <row r="446" spans="1:20" x14ac:dyDescent="0.3">
      <c r="A446" t="s">
        <v>911</v>
      </c>
      <c r="B446" s="171" t="s">
        <v>912</v>
      </c>
      <c r="C446" s="171" t="s">
        <v>170</v>
      </c>
      <c r="D446" s="171" t="s">
        <v>80</v>
      </c>
      <c r="E446" s="11">
        <v>41122</v>
      </c>
      <c r="R446" t="e">
        <v>#DIV/0!</v>
      </c>
      <c r="T446">
        <v>0</v>
      </c>
    </row>
    <row r="447" spans="1:20" x14ac:dyDescent="0.3">
      <c r="A447" t="s">
        <v>913</v>
      </c>
      <c r="B447" s="171" t="s">
        <v>914</v>
      </c>
      <c r="C447" s="171" t="s">
        <v>173</v>
      </c>
      <c r="D447" s="171" t="s">
        <v>80</v>
      </c>
      <c r="E447" s="11">
        <v>41122</v>
      </c>
      <c r="P447">
        <v>0</v>
      </c>
      <c r="Q447">
        <v>2</v>
      </c>
      <c r="R447">
        <v>0</v>
      </c>
      <c r="T447">
        <v>0</v>
      </c>
    </row>
    <row r="448" spans="1:20" x14ac:dyDescent="0.3">
      <c r="A448" t="s">
        <v>915</v>
      </c>
      <c r="B448" s="171" t="s">
        <v>916</v>
      </c>
      <c r="C448" s="171" t="s">
        <v>176</v>
      </c>
      <c r="D448" s="171" t="s">
        <v>80</v>
      </c>
      <c r="E448" s="11">
        <v>41122</v>
      </c>
      <c r="P448">
        <v>0</v>
      </c>
      <c r="Q448">
        <v>2</v>
      </c>
      <c r="R448">
        <v>0</v>
      </c>
      <c r="T448">
        <v>0.90400000000000003</v>
      </c>
    </row>
    <row r="449" spans="1:20" x14ac:dyDescent="0.3">
      <c r="A449" t="s">
        <v>917</v>
      </c>
      <c r="B449" s="171" t="s">
        <v>918</v>
      </c>
      <c r="C449" s="171" t="s">
        <v>179</v>
      </c>
      <c r="D449" s="171" t="s">
        <v>4</v>
      </c>
      <c r="E449" s="11">
        <v>41122</v>
      </c>
      <c r="R449" t="e">
        <v>#DIV/0!</v>
      </c>
      <c r="T449">
        <v>0</v>
      </c>
    </row>
    <row r="450" spans="1:20" x14ac:dyDescent="0.3">
      <c r="A450" t="s">
        <v>919</v>
      </c>
      <c r="B450" s="171" t="s">
        <v>920</v>
      </c>
      <c r="C450" s="171" t="s">
        <v>182</v>
      </c>
      <c r="D450" s="171" t="s">
        <v>80</v>
      </c>
      <c r="E450" s="11">
        <v>41122</v>
      </c>
      <c r="R450" t="e">
        <v>#DIV/0!</v>
      </c>
    </row>
    <row r="451" spans="1:20" x14ac:dyDescent="0.3">
      <c r="A451" t="s">
        <v>921</v>
      </c>
      <c r="B451" s="171" t="s">
        <v>922</v>
      </c>
      <c r="C451" s="171" t="s">
        <v>185</v>
      </c>
      <c r="D451" s="171" t="s">
        <v>4</v>
      </c>
      <c r="E451" s="11">
        <v>41122</v>
      </c>
      <c r="F451">
        <v>3</v>
      </c>
      <c r="G451">
        <v>3</v>
      </c>
      <c r="H451">
        <v>1</v>
      </c>
      <c r="K451" t="e">
        <v>#DIV/0!</v>
      </c>
      <c r="M451" t="e">
        <v>#DIV/0!</v>
      </c>
      <c r="R451" t="e">
        <v>#DIV/0!</v>
      </c>
    </row>
    <row r="452" spans="1:20" x14ac:dyDescent="0.3">
      <c r="A452" t="s">
        <v>923</v>
      </c>
      <c r="B452" s="171" t="s">
        <v>924</v>
      </c>
      <c r="C452" s="171" t="s">
        <v>188</v>
      </c>
      <c r="D452" s="171" t="s">
        <v>80</v>
      </c>
      <c r="E452" s="11">
        <v>41122</v>
      </c>
      <c r="F452">
        <v>3</v>
      </c>
      <c r="G452">
        <v>3</v>
      </c>
      <c r="H452">
        <v>1</v>
      </c>
      <c r="K452" t="e">
        <v>#DIV/0!</v>
      </c>
      <c r="M452" t="e">
        <v>#DIV/0!</v>
      </c>
      <c r="R452" t="e">
        <v>#DIV/0!</v>
      </c>
    </row>
    <row r="453" spans="1:20" x14ac:dyDescent="0.3">
      <c r="A453" t="s">
        <v>925</v>
      </c>
      <c r="B453" s="171" t="s">
        <v>926</v>
      </c>
      <c r="C453" s="171" t="s">
        <v>191</v>
      </c>
      <c r="D453" s="171" t="s">
        <v>4</v>
      </c>
      <c r="E453" s="11">
        <v>41122</v>
      </c>
    </row>
    <row r="454" spans="1:20" x14ac:dyDescent="0.3">
      <c r="A454" t="s">
        <v>927</v>
      </c>
      <c r="B454" s="171" t="s">
        <v>928</v>
      </c>
      <c r="C454" s="171" t="s">
        <v>194</v>
      </c>
      <c r="D454" s="171" t="s">
        <v>80</v>
      </c>
      <c r="E454" s="11">
        <v>41122</v>
      </c>
    </row>
    <row r="455" spans="1:20" x14ac:dyDescent="0.3">
      <c r="A455" t="s">
        <v>929</v>
      </c>
      <c r="B455" s="171" t="s">
        <v>930</v>
      </c>
      <c r="C455" s="171" t="s">
        <v>197</v>
      </c>
      <c r="D455" s="171" t="s">
        <v>80</v>
      </c>
      <c r="E455" s="11">
        <v>41122</v>
      </c>
      <c r="T455">
        <v>0</v>
      </c>
    </row>
    <row r="456" spans="1:20" x14ac:dyDescent="0.3">
      <c r="A456" t="s">
        <v>931</v>
      </c>
      <c r="B456" s="171" t="s">
        <v>932</v>
      </c>
      <c r="C456" s="171" t="s">
        <v>200</v>
      </c>
      <c r="D456" s="171" t="s">
        <v>80</v>
      </c>
      <c r="E456" s="11">
        <v>41122</v>
      </c>
      <c r="F456">
        <v>3.3</v>
      </c>
      <c r="G456">
        <v>3.3</v>
      </c>
      <c r="H456">
        <v>1</v>
      </c>
      <c r="I456">
        <v>8</v>
      </c>
      <c r="J456">
        <v>0</v>
      </c>
      <c r="L456">
        <v>23</v>
      </c>
      <c r="M456">
        <v>0</v>
      </c>
      <c r="P456">
        <v>0</v>
      </c>
      <c r="Q456">
        <v>2</v>
      </c>
      <c r="R456">
        <v>0</v>
      </c>
    </row>
    <row r="457" spans="1:20" x14ac:dyDescent="0.3">
      <c r="A457" t="s">
        <v>933</v>
      </c>
      <c r="B457" s="171" t="s">
        <v>934</v>
      </c>
      <c r="C457" s="171" t="s">
        <v>203</v>
      </c>
      <c r="D457" s="171" t="s">
        <v>80</v>
      </c>
      <c r="E457" s="11">
        <v>41122</v>
      </c>
      <c r="H457" t="e">
        <v>#DIV/0!</v>
      </c>
      <c r="K457" t="e">
        <v>#DIV/0!</v>
      </c>
      <c r="M457" t="e">
        <v>#DIV/0!</v>
      </c>
      <c r="R457" t="e">
        <v>#DIV/0!</v>
      </c>
    </row>
    <row r="458" spans="1:20" x14ac:dyDescent="0.3">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x14ac:dyDescent="0.3">
      <c r="A459" t="s">
        <v>937</v>
      </c>
      <c r="B459" s="171" t="s">
        <v>938</v>
      </c>
      <c r="C459" s="171" t="s">
        <v>209</v>
      </c>
      <c r="D459" s="171" t="s">
        <v>80</v>
      </c>
      <c r="E459" s="11">
        <v>41122</v>
      </c>
      <c r="H459" t="e">
        <v>#DIV/0!</v>
      </c>
      <c r="K459" t="e">
        <v>#DIV/0!</v>
      </c>
      <c r="M459" t="e">
        <v>#DIV/0!</v>
      </c>
      <c r="R459" t="e">
        <v>#DIV/0!</v>
      </c>
    </row>
    <row r="460" spans="1:20" x14ac:dyDescent="0.3">
      <c r="A460" t="s">
        <v>939</v>
      </c>
      <c r="B460" s="171" t="s">
        <v>940</v>
      </c>
      <c r="C460" s="171" t="s">
        <v>212</v>
      </c>
      <c r="D460" s="171" t="s">
        <v>4</v>
      </c>
      <c r="E460" s="11">
        <v>41122</v>
      </c>
      <c r="H460" t="e">
        <v>#DIV/0!</v>
      </c>
      <c r="K460" t="e">
        <v>#DIV/0!</v>
      </c>
      <c r="M460" t="e">
        <v>#DIV/0!</v>
      </c>
      <c r="R460" t="e">
        <v>#DIV/0!</v>
      </c>
    </row>
    <row r="461" spans="1:20" x14ac:dyDescent="0.3">
      <c r="A461" t="s">
        <v>941</v>
      </c>
      <c r="B461" s="171" t="s">
        <v>942</v>
      </c>
      <c r="C461" s="171" t="s">
        <v>215</v>
      </c>
      <c r="D461" s="171" t="s">
        <v>4</v>
      </c>
      <c r="E461" s="11">
        <v>41122</v>
      </c>
      <c r="R461" t="e">
        <v>#DIV/0!</v>
      </c>
    </row>
    <row r="462" spans="1:20" x14ac:dyDescent="0.3">
      <c r="A462" t="s">
        <v>943</v>
      </c>
      <c r="B462" s="171" t="s">
        <v>944</v>
      </c>
      <c r="C462" s="171" t="s">
        <v>218</v>
      </c>
      <c r="D462" s="171" t="s">
        <v>80</v>
      </c>
      <c r="E462" s="11">
        <v>41122</v>
      </c>
      <c r="R462" t="e">
        <v>#DIV/0!</v>
      </c>
      <c r="T462">
        <v>0</v>
      </c>
    </row>
    <row r="463" spans="1:20" x14ac:dyDescent="0.3">
      <c r="A463" t="s">
        <v>945</v>
      </c>
      <c r="B463" s="171" t="s">
        <v>946</v>
      </c>
      <c r="C463" s="171" t="s">
        <v>221</v>
      </c>
      <c r="D463" s="171" t="s">
        <v>4</v>
      </c>
      <c r="E463" s="11">
        <v>41122</v>
      </c>
      <c r="F463">
        <v>1</v>
      </c>
      <c r="G463">
        <v>1</v>
      </c>
      <c r="H463">
        <v>1</v>
      </c>
      <c r="I463">
        <v>0</v>
      </c>
      <c r="L463">
        <v>0</v>
      </c>
      <c r="M463" t="e">
        <v>#DIV/0!</v>
      </c>
      <c r="R463" t="e">
        <v>#DIV/0!</v>
      </c>
    </row>
    <row r="464" spans="1:20" x14ac:dyDescent="0.3">
      <c r="A464" t="s">
        <v>947</v>
      </c>
      <c r="B464" s="171" t="s">
        <v>948</v>
      </c>
      <c r="C464" s="171" t="s">
        <v>224</v>
      </c>
      <c r="D464" s="171" t="s">
        <v>80</v>
      </c>
      <c r="E464" s="11">
        <v>41122</v>
      </c>
      <c r="H464" t="e">
        <v>#DIV/0!</v>
      </c>
      <c r="K464" t="e">
        <v>#DIV/0!</v>
      </c>
      <c r="M464" t="e">
        <v>#DIV/0!</v>
      </c>
      <c r="R464" t="e">
        <v>#DIV/0!</v>
      </c>
    </row>
    <row r="465" spans="1:19" x14ac:dyDescent="0.3">
      <c r="A465" t="s">
        <v>949</v>
      </c>
      <c r="B465" s="171" t="s">
        <v>950</v>
      </c>
      <c r="C465" s="171" t="s">
        <v>227</v>
      </c>
      <c r="D465" s="171" t="s">
        <v>80</v>
      </c>
      <c r="E465" s="11">
        <v>41122</v>
      </c>
      <c r="F465">
        <v>1</v>
      </c>
      <c r="G465">
        <v>1</v>
      </c>
      <c r="H465">
        <v>1</v>
      </c>
      <c r="K465" t="e">
        <v>#DIV/0!</v>
      </c>
      <c r="M465" t="e">
        <v>#DIV/0!</v>
      </c>
      <c r="R465" t="e">
        <v>#DIV/0!</v>
      </c>
    </row>
    <row r="466" spans="1:19" x14ac:dyDescent="0.3">
      <c r="A466" t="s">
        <v>951</v>
      </c>
      <c r="B466" s="171" t="s">
        <v>952</v>
      </c>
      <c r="C466" s="171" t="s">
        <v>230</v>
      </c>
      <c r="D466" s="171" t="s">
        <v>80</v>
      </c>
      <c r="E466" s="11">
        <v>41122</v>
      </c>
      <c r="H466" t="e">
        <v>#DIV/0!</v>
      </c>
      <c r="K466" t="e">
        <v>#DIV/0!</v>
      </c>
      <c r="M466" t="e">
        <v>#DIV/0!</v>
      </c>
      <c r="R466" t="e">
        <v>#DIV/0!</v>
      </c>
    </row>
    <row r="467" spans="1:19" x14ac:dyDescent="0.3">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x14ac:dyDescent="0.3">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x14ac:dyDescent="0.3">
      <c r="A469" t="s">
        <v>957</v>
      </c>
      <c r="B469" s="171" t="s">
        <v>958</v>
      </c>
      <c r="C469" s="171" t="s">
        <v>239</v>
      </c>
      <c r="D469" s="171" t="s">
        <v>80</v>
      </c>
      <c r="E469" s="11">
        <v>41122</v>
      </c>
      <c r="F469">
        <v>0.5</v>
      </c>
      <c r="G469">
        <v>5</v>
      </c>
      <c r="H469">
        <v>0.1</v>
      </c>
      <c r="I469">
        <v>2</v>
      </c>
      <c r="L469">
        <v>9</v>
      </c>
      <c r="M469">
        <v>0</v>
      </c>
    </row>
    <row r="470" spans="1:19" x14ac:dyDescent="0.3">
      <c r="A470" t="s">
        <v>959</v>
      </c>
      <c r="B470" s="171" t="s">
        <v>960</v>
      </c>
      <c r="C470" s="171" t="s">
        <v>76</v>
      </c>
      <c r="D470" s="171" t="s">
        <v>80</v>
      </c>
      <c r="E470" s="11">
        <v>41122</v>
      </c>
      <c r="F470">
        <v>1</v>
      </c>
      <c r="G470">
        <v>2.5</v>
      </c>
      <c r="H470">
        <v>0.4</v>
      </c>
      <c r="I470">
        <v>2</v>
      </c>
      <c r="K470" t="e">
        <v>#DIV/0!</v>
      </c>
      <c r="L470">
        <v>14.5</v>
      </c>
      <c r="M470">
        <v>0</v>
      </c>
      <c r="R470" t="e">
        <v>#DIV/0!</v>
      </c>
    </row>
    <row r="471" spans="1:19" x14ac:dyDescent="0.3">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x14ac:dyDescent="0.3">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x14ac:dyDescent="0.3">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x14ac:dyDescent="0.3">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x14ac:dyDescent="0.3">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x14ac:dyDescent="0.3">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x14ac:dyDescent="0.3">
      <c r="A478" t="s">
        <v>975</v>
      </c>
      <c r="B478" s="171" t="s">
        <v>976</v>
      </c>
      <c r="C478" s="171" t="s">
        <v>110</v>
      </c>
      <c r="D478" s="171" t="s">
        <v>4</v>
      </c>
      <c r="E478" s="11">
        <v>41122</v>
      </c>
      <c r="H478" t="e">
        <v>#DIV/0!</v>
      </c>
      <c r="I478">
        <v>2</v>
      </c>
      <c r="L478">
        <v>0</v>
      </c>
      <c r="M478" t="e">
        <v>#DIV/0!</v>
      </c>
      <c r="R478" t="e">
        <v>#DIV/0!</v>
      </c>
    </row>
    <row r="479" spans="1:19" x14ac:dyDescent="0.3">
      <c r="A479" t="s">
        <v>977</v>
      </c>
      <c r="B479" s="171" t="s">
        <v>978</v>
      </c>
      <c r="C479" s="171" t="s">
        <v>113</v>
      </c>
      <c r="D479" s="171" t="s">
        <v>4</v>
      </c>
      <c r="E479" s="11">
        <v>41122</v>
      </c>
      <c r="F479">
        <v>6</v>
      </c>
      <c r="G479">
        <v>4</v>
      </c>
      <c r="H479">
        <v>1.5</v>
      </c>
      <c r="K479" t="e">
        <v>#DIV/0!</v>
      </c>
      <c r="L479">
        <v>20</v>
      </c>
      <c r="M479">
        <v>0</v>
      </c>
      <c r="R479" t="e">
        <v>#DIV/0!</v>
      </c>
    </row>
    <row r="480" spans="1:19" x14ac:dyDescent="0.3">
      <c r="A480" t="s">
        <v>979</v>
      </c>
      <c r="B480" s="171" t="s">
        <v>980</v>
      </c>
      <c r="C480" s="171" t="s">
        <v>116</v>
      </c>
      <c r="D480" s="171" t="s">
        <v>4</v>
      </c>
      <c r="E480" s="11">
        <v>41122</v>
      </c>
      <c r="H480" t="e">
        <v>#DIV/0!</v>
      </c>
      <c r="M480" t="e">
        <v>#DIV/0!</v>
      </c>
      <c r="R480" t="e">
        <v>#DIV/0!</v>
      </c>
    </row>
    <row r="481" spans="1:20" x14ac:dyDescent="0.3">
      <c r="A481" t="s">
        <v>981</v>
      </c>
      <c r="B481" s="171" t="s">
        <v>982</v>
      </c>
      <c r="C481" s="171" t="s">
        <v>119</v>
      </c>
      <c r="D481" s="171" t="s">
        <v>4</v>
      </c>
      <c r="E481" s="11">
        <v>41122</v>
      </c>
      <c r="H481" t="e">
        <v>#DIV/0!</v>
      </c>
      <c r="K481" t="e">
        <v>#DIV/0!</v>
      </c>
      <c r="M481" t="e">
        <v>#DIV/0!</v>
      </c>
      <c r="R481" t="e">
        <v>#DIV/0!</v>
      </c>
    </row>
    <row r="482" spans="1:20" x14ac:dyDescent="0.3">
      <c r="A482" t="s">
        <v>983</v>
      </c>
      <c r="B482" s="171" t="s">
        <v>984</v>
      </c>
      <c r="C482" s="171" t="s">
        <v>122</v>
      </c>
      <c r="D482" s="171" t="s">
        <v>80</v>
      </c>
      <c r="E482" s="11">
        <v>41122</v>
      </c>
      <c r="H482" t="e">
        <v>#DIV/0!</v>
      </c>
      <c r="K482" t="e">
        <v>#DIV/0!</v>
      </c>
      <c r="M482" t="e">
        <v>#DIV/0!</v>
      </c>
      <c r="R482" t="e">
        <v>#DIV/0!</v>
      </c>
    </row>
    <row r="483" spans="1:20" x14ac:dyDescent="0.3">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x14ac:dyDescent="0.3">
      <c r="A484" t="s">
        <v>987</v>
      </c>
      <c r="B484" s="171" t="s">
        <v>988</v>
      </c>
      <c r="C484" s="171" t="s">
        <v>128</v>
      </c>
      <c r="D484" s="171" t="s">
        <v>4</v>
      </c>
      <c r="E484" s="11">
        <v>41122</v>
      </c>
    </row>
    <row r="485" spans="1:20" x14ac:dyDescent="0.3">
      <c r="A485" t="s">
        <v>989</v>
      </c>
      <c r="B485" s="171" t="s">
        <v>990</v>
      </c>
      <c r="C485" s="171" t="s">
        <v>131</v>
      </c>
      <c r="D485" s="171" t="s">
        <v>4</v>
      </c>
      <c r="E485" s="11">
        <v>41122</v>
      </c>
      <c r="F485">
        <v>6</v>
      </c>
      <c r="G485">
        <v>4</v>
      </c>
      <c r="H485">
        <v>1.5</v>
      </c>
      <c r="K485" t="e">
        <v>#DIV/0!</v>
      </c>
      <c r="L485">
        <v>27.5</v>
      </c>
      <c r="M485">
        <v>0</v>
      </c>
      <c r="R485" t="e">
        <v>#DIV/0!</v>
      </c>
    </row>
    <row r="486" spans="1:20" x14ac:dyDescent="0.3">
      <c r="A486" t="s">
        <v>991</v>
      </c>
      <c r="B486" s="171" t="s">
        <v>992</v>
      </c>
      <c r="C486" s="171" t="s">
        <v>134</v>
      </c>
      <c r="D486" s="171" t="s">
        <v>4</v>
      </c>
      <c r="E486" s="11">
        <v>41122</v>
      </c>
    </row>
    <row r="487" spans="1:20" x14ac:dyDescent="0.3">
      <c r="A487" t="s">
        <v>993</v>
      </c>
      <c r="B487" s="171" t="s">
        <v>994</v>
      </c>
      <c r="C487" s="171" t="s">
        <v>137</v>
      </c>
      <c r="D487" s="171" t="s">
        <v>80</v>
      </c>
      <c r="E487" s="11">
        <v>41122</v>
      </c>
      <c r="R487" t="e">
        <v>#DIV/0!</v>
      </c>
    </row>
    <row r="488" spans="1:20" x14ac:dyDescent="0.3">
      <c r="A488" t="s">
        <v>995</v>
      </c>
      <c r="B488" s="171" t="s">
        <v>996</v>
      </c>
      <c r="C488" s="171" t="s">
        <v>140</v>
      </c>
      <c r="D488" s="171" t="s">
        <v>4</v>
      </c>
      <c r="E488" s="11">
        <v>41122</v>
      </c>
      <c r="R488" t="e">
        <v>#DIV/0!</v>
      </c>
    </row>
    <row r="489" spans="1:20" x14ac:dyDescent="0.3">
      <c r="A489" t="s">
        <v>997</v>
      </c>
      <c r="B489" s="171" t="s">
        <v>998</v>
      </c>
      <c r="C489" s="171" t="s">
        <v>167</v>
      </c>
      <c r="D489" s="171" t="s">
        <v>80</v>
      </c>
      <c r="E489" s="11">
        <v>41122</v>
      </c>
      <c r="R489" t="e">
        <v>#DIV/0!</v>
      </c>
    </row>
    <row r="490" spans="1:20" x14ac:dyDescent="0.3">
      <c r="A490" t="s">
        <v>999</v>
      </c>
      <c r="B490" s="171" t="s">
        <v>1000</v>
      </c>
      <c r="C490" s="171" t="s">
        <v>170</v>
      </c>
      <c r="D490" s="171" t="s">
        <v>4</v>
      </c>
      <c r="E490" s="11">
        <v>41122</v>
      </c>
      <c r="R490" t="e">
        <v>#DIV/0!</v>
      </c>
    </row>
    <row r="491" spans="1:20" x14ac:dyDescent="0.3">
      <c r="A491" t="s">
        <v>1001</v>
      </c>
      <c r="B491" s="171" t="s">
        <v>1002</v>
      </c>
      <c r="C491" s="171" t="s">
        <v>179</v>
      </c>
      <c r="D491" s="171" t="s">
        <v>80</v>
      </c>
      <c r="E491" s="11">
        <v>41122</v>
      </c>
      <c r="R491" t="e">
        <v>#DIV/0!</v>
      </c>
      <c r="T491">
        <v>0.85019999999999996</v>
      </c>
    </row>
    <row r="492" spans="1:20" x14ac:dyDescent="0.3">
      <c r="A492" t="s">
        <v>1003</v>
      </c>
      <c r="B492" s="171" t="s">
        <v>1004</v>
      </c>
      <c r="C492" s="171" t="s">
        <v>182</v>
      </c>
      <c r="D492" s="171" t="s">
        <v>4</v>
      </c>
      <c r="E492" s="11">
        <v>41122</v>
      </c>
      <c r="R492" t="e">
        <v>#DIV/0!</v>
      </c>
      <c r="T492">
        <v>0.84399999999999997</v>
      </c>
    </row>
    <row r="493" spans="1:20" x14ac:dyDescent="0.3">
      <c r="A493" t="s">
        <v>1005</v>
      </c>
      <c r="B493" s="171" t="s">
        <v>1006</v>
      </c>
      <c r="C493" s="171" t="s">
        <v>185</v>
      </c>
      <c r="D493" s="171" t="s">
        <v>80</v>
      </c>
      <c r="E493" s="11">
        <v>41122</v>
      </c>
      <c r="F493">
        <v>3</v>
      </c>
      <c r="G493">
        <v>3</v>
      </c>
      <c r="H493">
        <v>1</v>
      </c>
      <c r="K493" t="e">
        <v>#DIV/0!</v>
      </c>
      <c r="M493" t="e">
        <v>#DIV/0!</v>
      </c>
      <c r="R493" t="e">
        <v>#DIV/0!</v>
      </c>
      <c r="T493">
        <v>0.96399999999999997</v>
      </c>
    </row>
    <row r="494" spans="1:20" x14ac:dyDescent="0.3">
      <c r="A494" t="s">
        <v>1007</v>
      </c>
      <c r="B494" s="171" t="s">
        <v>1008</v>
      </c>
      <c r="C494" s="171" t="s">
        <v>188</v>
      </c>
      <c r="D494" s="171" t="s">
        <v>4</v>
      </c>
      <c r="E494" s="11">
        <v>41122</v>
      </c>
      <c r="F494">
        <v>3</v>
      </c>
      <c r="G494">
        <v>3</v>
      </c>
      <c r="H494">
        <v>1</v>
      </c>
      <c r="K494" t="e">
        <v>#DIV/0!</v>
      </c>
      <c r="M494" t="e">
        <v>#DIV/0!</v>
      </c>
      <c r="R494" t="e">
        <v>#DIV/0!</v>
      </c>
    </row>
    <row r="495" spans="1:20" x14ac:dyDescent="0.3">
      <c r="A495" t="s">
        <v>1009</v>
      </c>
      <c r="B495" s="171" t="s">
        <v>1010</v>
      </c>
      <c r="C495" s="171" t="s">
        <v>191</v>
      </c>
      <c r="D495" s="171" t="s">
        <v>80</v>
      </c>
      <c r="E495" s="11">
        <v>41122</v>
      </c>
    </row>
    <row r="496" spans="1:20" x14ac:dyDescent="0.3">
      <c r="A496" t="s">
        <v>1011</v>
      </c>
      <c r="B496" s="171" t="s">
        <v>1012</v>
      </c>
      <c r="C496" s="171" t="s">
        <v>194</v>
      </c>
      <c r="D496" s="171" t="s">
        <v>4</v>
      </c>
      <c r="E496" s="11">
        <v>41122</v>
      </c>
      <c r="T496">
        <v>0</v>
      </c>
    </row>
    <row r="497" spans="1:20" x14ac:dyDescent="0.3">
      <c r="A497" t="s">
        <v>1013</v>
      </c>
      <c r="B497" s="171" t="s">
        <v>1014</v>
      </c>
      <c r="C497" s="171" t="s">
        <v>197</v>
      </c>
      <c r="D497" s="171" t="s">
        <v>4</v>
      </c>
      <c r="E497" s="11">
        <v>41122</v>
      </c>
      <c r="T497">
        <v>0</v>
      </c>
    </row>
    <row r="498" spans="1:20" x14ac:dyDescent="0.3">
      <c r="A498" t="s">
        <v>1015</v>
      </c>
      <c r="B498" s="171" t="s">
        <v>1016</v>
      </c>
      <c r="C498" s="171" t="s">
        <v>209</v>
      </c>
      <c r="D498" s="171" t="s">
        <v>4</v>
      </c>
      <c r="E498" s="11">
        <v>41122</v>
      </c>
      <c r="H498" t="e">
        <v>#DIV/0!</v>
      </c>
      <c r="K498" t="e">
        <v>#DIV/0!</v>
      </c>
      <c r="M498" t="e">
        <v>#DIV/0!</v>
      </c>
      <c r="R498" t="e">
        <v>#DIV/0!</v>
      </c>
      <c r="T498">
        <v>0</v>
      </c>
    </row>
    <row r="499" spans="1:20" x14ac:dyDescent="0.3">
      <c r="A499" t="s">
        <v>1017</v>
      </c>
      <c r="B499" s="171" t="s">
        <v>1018</v>
      </c>
      <c r="C499" s="171" t="s">
        <v>212</v>
      </c>
      <c r="D499" s="171" t="s">
        <v>80</v>
      </c>
      <c r="E499" s="11">
        <v>41122</v>
      </c>
      <c r="H499" t="e">
        <v>#DIV/0!</v>
      </c>
      <c r="K499" t="e">
        <v>#DIV/0!</v>
      </c>
      <c r="M499" t="e">
        <v>#DIV/0!</v>
      </c>
      <c r="R499" t="e">
        <v>#DIV/0!</v>
      </c>
      <c r="T499">
        <v>0</v>
      </c>
    </row>
    <row r="500" spans="1:20" x14ac:dyDescent="0.3">
      <c r="A500" t="s">
        <v>1019</v>
      </c>
      <c r="B500" s="171" t="s">
        <v>1020</v>
      </c>
      <c r="C500" s="171" t="s">
        <v>215</v>
      </c>
      <c r="D500" s="171" t="s">
        <v>80</v>
      </c>
      <c r="E500" s="11">
        <v>41122</v>
      </c>
      <c r="R500" t="e">
        <v>#DIV/0!</v>
      </c>
      <c r="T500">
        <v>0</v>
      </c>
    </row>
    <row r="501" spans="1:20" x14ac:dyDescent="0.3">
      <c r="A501" t="s">
        <v>1021</v>
      </c>
      <c r="B501" s="171" t="s">
        <v>1022</v>
      </c>
      <c r="C501" s="171" t="s">
        <v>218</v>
      </c>
      <c r="D501" s="171" t="s">
        <v>4</v>
      </c>
      <c r="E501" s="11">
        <v>41122</v>
      </c>
      <c r="R501" t="e">
        <v>#DIV/0!</v>
      </c>
      <c r="T501">
        <v>0</v>
      </c>
    </row>
    <row r="502" spans="1:20" x14ac:dyDescent="0.3">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x14ac:dyDescent="0.3">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x14ac:dyDescent="0.3">
      <c r="A504" t="s">
        <v>1027</v>
      </c>
      <c r="B504" s="171" t="s">
        <v>1028</v>
      </c>
      <c r="C504" s="171" t="s">
        <v>239</v>
      </c>
      <c r="D504" s="171" t="s">
        <v>4</v>
      </c>
      <c r="E504" s="11">
        <v>41122</v>
      </c>
      <c r="F504">
        <v>0.5</v>
      </c>
      <c r="G504">
        <v>5</v>
      </c>
      <c r="H504">
        <v>0.1</v>
      </c>
      <c r="I504">
        <v>2</v>
      </c>
      <c r="L504">
        <v>9</v>
      </c>
      <c r="M504">
        <v>0</v>
      </c>
      <c r="T504" t="e">
        <v>#DIV/0!</v>
      </c>
    </row>
    <row r="505" spans="1:20" x14ac:dyDescent="0.3">
      <c r="A505" t="s">
        <v>1029</v>
      </c>
      <c r="B505" s="171" t="s">
        <v>1030</v>
      </c>
      <c r="C505" s="171" t="s">
        <v>143</v>
      </c>
      <c r="D505" s="171" t="s">
        <v>4</v>
      </c>
      <c r="E505" s="11">
        <v>41122</v>
      </c>
      <c r="T505">
        <v>0</v>
      </c>
    </row>
    <row r="506" spans="1:20" x14ac:dyDescent="0.3">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x14ac:dyDescent="0.3">
      <c r="A507" t="s">
        <v>1033</v>
      </c>
      <c r="B507" s="171" t="s">
        <v>1034</v>
      </c>
      <c r="C507" s="171" t="s">
        <v>149</v>
      </c>
      <c r="D507" s="171" t="s">
        <v>4</v>
      </c>
      <c r="E507" s="11">
        <v>41122</v>
      </c>
      <c r="H507" t="e">
        <v>#DIV/0!</v>
      </c>
      <c r="K507" t="e">
        <v>#DIV/0!</v>
      </c>
      <c r="M507" t="e">
        <v>#DIV/0!</v>
      </c>
      <c r="R507" t="e">
        <v>#DIV/0!</v>
      </c>
    </row>
    <row r="508" spans="1:20" x14ac:dyDescent="0.3">
      <c r="A508" t="s">
        <v>1035</v>
      </c>
      <c r="B508" s="171" t="s">
        <v>1036</v>
      </c>
      <c r="C508" s="171" t="s">
        <v>152</v>
      </c>
      <c r="D508" s="171" t="s">
        <v>4</v>
      </c>
      <c r="E508" s="11">
        <v>41122</v>
      </c>
    </row>
    <row r="509" spans="1:20" x14ac:dyDescent="0.3">
      <c r="A509" t="s">
        <v>1037</v>
      </c>
      <c r="B509" s="171" t="s">
        <v>1038</v>
      </c>
      <c r="C509" s="171" t="s">
        <v>155</v>
      </c>
      <c r="D509" s="171" t="s">
        <v>4</v>
      </c>
      <c r="E509" s="11">
        <v>41122</v>
      </c>
      <c r="F509">
        <v>3</v>
      </c>
      <c r="G509">
        <v>3</v>
      </c>
      <c r="H509">
        <v>1</v>
      </c>
      <c r="J509">
        <v>17</v>
      </c>
      <c r="K509">
        <v>0</v>
      </c>
      <c r="L509">
        <v>27</v>
      </c>
      <c r="M509">
        <v>0.62962962962962965</v>
      </c>
      <c r="R509" t="e">
        <v>#DIV/0!</v>
      </c>
    </row>
    <row r="510" spans="1:20" x14ac:dyDescent="0.3">
      <c r="A510" t="s">
        <v>1039</v>
      </c>
      <c r="B510" s="171" t="s">
        <v>1040</v>
      </c>
      <c r="C510" s="171" t="s">
        <v>158</v>
      </c>
      <c r="D510" s="171" t="s">
        <v>4</v>
      </c>
      <c r="E510" s="11">
        <v>41122</v>
      </c>
      <c r="H510" t="e">
        <v>#DIV/0!</v>
      </c>
      <c r="K510" t="e">
        <v>#DIV/0!</v>
      </c>
      <c r="M510" t="e">
        <v>#DIV/0!</v>
      </c>
      <c r="R510" t="e">
        <v>#DIV/0!</v>
      </c>
    </row>
    <row r="511" spans="1:20" x14ac:dyDescent="0.3">
      <c r="A511" t="s">
        <v>1041</v>
      </c>
      <c r="B511" s="171" t="s">
        <v>1042</v>
      </c>
      <c r="C511" s="171" t="s">
        <v>164</v>
      </c>
      <c r="D511" s="171" t="s">
        <v>4</v>
      </c>
      <c r="E511" s="11">
        <v>41122</v>
      </c>
      <c r="F511">
        <v>1.5</v>
      </c>
      <c r="G511">
        <v>1.5</v>
      </c>
      <c r="H511">
        <v>1</v>
      </c>
      <c r="I511">
        <v>2</v>
      </c>
      <c r="K511" t="e">
        <v>#DIV/0!</v>
      </c>
      <c r="L511">
        <v>14.5</v>
      </c>
      <c r="M511">
        <v>0</v>
      </c>
      <c r="R511" t="e">
        <v>#DIV/0!</v>
      </c>
      <c r="T511">
        <v>0</v>
      </c>
    </row>
    <row r="512" spans="1:20" x14ac:dyDescent="0.3">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x14ac:dyDescent="0.3">
      <c r="A513" t="s">
        <v>1045</v>
      </c>
      <c r="B513" s="171" t="s">
        <v>1046</v>
      </c>
      <c r="C513" s="171" t="s">
        <v>221</v>
      </c>
      <c r="D513" s="171" t="s">
        <v>80</v>
      </c>
      <c r="E513" s="11">
        <v>41122</v>
      </c>
      <c r="F513">
        <v>1</v>
      </c>
      <c r="G513">
        <v>1</v>
      </c>
      <c r="H513">
        <v>1</v>
      </c>
      <c r="I513">
        <v>0</v>
      </c>
      <c r="L513">
        <v>0</v>
      </c>
      <c r="M513" t="e">
        <v>#DIV/0!</v>
      </c>
      <c r="R513" t="e">
        <v>#DIV/0!</v>
      </c>
    </row>
    <row r="514" spans="1:20" x14ac:dyDescent="0.3">
      <c r="A514" t="s">
        <v>1047</v>
      </c>
      <c r="B514" s="171" t="s">
        <v>1048</v>
      </c>
      <c r="C514" s="171" t="s">
        <v>224</v>
      </c>
      <c r="D514" s="171" t="s">
        <v>4</v>
      </c>
      <c r="E514" s="11">
        <v>41122</v>
      </c>
      <c r="H514" t="e">
        <v>#DIV/0!</v>
      </c>
      <c r="K514" t="e">
        <v>#DIV/0!</v>
      </c>
      <c r="M514" t="e">
        <v>#DIV/0!</v>
      </c>
      <c r="R514" t="e">
        <v>#DIV/0!</v>
      </c>
    </row>
    <row r="515" spans="1:20" x14ac:dyDescent="0.3">
      <c r="A515" t="s">
        <v>1049</v>
      </c>
      <c r="B515" s="171" t="s">
        <v>1050</v>
      </c>
      <c r="C515" s="171" t="s">
        <v>227</v>
      </c>
      <c r="D515" s="171" t="s">
        <v>4</v>
      </c>
      <c r="E515" s="11">
        <v>41122</v>
      </c>
      <c r="F515">
        <v>1</v>
      </c>
      <c r="G515">
        <v>1</v>
      </c>
      <c r="H515">
        <v>1</v>
      </c>
      <c r="K515" t="e">
        <v>#DIV/0!</v>
      </c>
      <c r="M515" t="e">
        <v>#DIV/0!</v>
      </c>
      <c r="R515" t="e">
        <v>#DIV/0!</v>
      </c>
    </row>
    <row r="516" spans="1:20" x14ac:dyDescent="0.3">
      <c r="A516" t="s">
        <v>1051</v>
      </c>
      <c r="B516" s="171" t="s">
        <v>1052</v>
      </c>
      <c r="C516" s="171" t="s">
        <v>230</v>
      </c>
      <c r="D516" s="171" t="s">
        <v>4</v>
      </c>
      <c r="E516" s="11">
        <v>41122</v>
      </c>
      <c r="H516" t="e">
        <v>#DIV/0!</v>
      </c>
      <c r="K516" t="e">
        <v>#DIV/0!</v>
      </c>
      <c r="M516" t="e">
        <v>#DIV/0!</v>
      </c>
      <c r="R516" t="e">
        <v>#DIV/0!</v>
      </c>
    </row>
    <row r="517" spans="1:20" x14ac:dyDescent="0.3">
      <c r="A517" t="s">
        <v>1053</v>
      </c>
      <c r="B517" s="171" t="s">
        <v>1054</v>
      </c>
      <c r="C517" s="171" t="s">
        <v>73</v>
      </c>
      <c r="D517" s="171" t="s">
        <v>4</v>
      </c>
      <c r="E517" s="11">
        <v>41153</v>
      </c>
      <c r="F517">
        <v>1</v>
      </c>
      <c r="G517">
        <v>2.5</v>
      </c>
      <c r="H517">
        <v>0.4</v>
      </c>
      <c r="I517">
        <v>4</v>
      </c>
      <c r="K517" t="e">
        <v>#DIV/0!</v>
      </c>
      <c r="L517">
        <v>14.5</v>
      </c>
      <c r="M517">
        <v>0</v>
      </c>
      <c r="R517" t="e">
        <v>#DIV/0!</v>
      </c>
    </row>
    <row r="518" spans="1:20" x14ac:dyDescent="0.3">
      <c r="A518" t="s">
        <v>1055</v>
      </c>
      <c r="B518" s="171" t="s">
        <v>1056</v>
      </c>
      <c r="C518" s="171" t="s">
        <v>76</v>
      </c>
      <c r="D518" s="171" t="s">
        <v>4</v>
      </c>
      <c r="E518" s="11">
        <v>41153</v>
      </c>
      <c r="F518">
        <v>1</v>
      </c>
      <c r="G518">
        <v>2.5</v>
      </c>
      <c r="H518">
        <v>0.4</v>
      </c>
      <c r="I518">
        <v>4</v>
      </c>
      <c r="K518" t="e">
        <v>#DIV/0!</v>
      </c>
      <c r="L518">
        <v>14.5</v>
      </c>
      <c r="M518">
        <v>0</v>
      </c>
      <c r="R518" t="e">
        <v>#DIV/0!</v>
      </c>
      <c r="T518">
        <v>0</v>
      </c>
    </row>
    <row r="519" spans="1:20" x14ac:dyDescent="0.3">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x14ac:dyDescent="0.3">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x14ac:dyDescent="0.3">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x14ac:dyDescent="0.3">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x14ac:dyDescent="0.3">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x14ac:dyDescent="0.3">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x14ac:dyDescent="0.3">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x14ac:dyDescent="0.3">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x14ac:dyDescent="0.3">
      <c r="A529" t="s">
        <v>1077</v>
      </c>
      <c r="B529" s="171" t="s">
        <v>1078</v>
      </c>
      <c r="C529" s="171" t="s">
        <v>110</v>
      </c>
      <c r="D529" s="171" t="s">
        <v>80</v>
      </c>
      <c r="E529" s="11">
        <v>41153</v>
      </c>
      <c r="H529" t="e">
        <v>#DIV/0!</v>
      </c>
      <c r="I529">
        <v>2</v>
      </c>
      <c r="L529">
        <v>0</v>
      </c>
      <c r="M529" t="e">
        <v>#DIV/0!</v>
      </c>
      <c r="R529" t="e">
        <v>#DIV/0!</v>
      </c>
    </row>
    <row r="530" spans="1:19" x14ac:dyDescent="0.3">
      <c r="A530" t="s">
        <v>1079</v>
      </c>
      <c r="B530" s="171" t="s">
        <v>1080</v>
      </c>
      <c r="C530" s="171" t="s">
        <v>113</v>
      </c>
      <c r="D530" s="171" t="s">
        <v>80</v>
      </c>
      <c r="E530" s="11">
        <v>41153</v>
      </c>
      <c r="F530">
        <v>6</v>
      </c>
      <c r="G530">
        <v>4</v>
      </c>
      <c r="H530">
        <v>1.5</v>
      </c>
      <c r="K530" t="e">
        <v>#DIV/0!</v>
      </c>
      <c r="L530">
        <v>20</v>
      </c>
      <c r="M530">
        <v>0</v>
      </c>
      <c r="R530" t="e">
        <v>#DIV/0!</v>
      </c>
    </row>
    <row r="531" spans="1:19" x14ac:dyDescent="0.3">
      <c r="A531" t="s">
        <v>1081</v>
      </c>
      <c r="B531" s="171" t="s">
        <v>1082</v>
      </c>
      <c r="C531" s="171" t="s">
        <v>116</v>
      </c>
      <c r="D531" s="171" t="s">
        <v>80</v>
      </c>
      <c r="E531" s="11">
        <v>41153</v>
      </c>
      <c r="H531" t="e">
        <v>#DIV/0!</v>
      </c>
      <c r="M531" t="e">
        <v>#DIV/0!</v>
      </c>
      <c r="R531" t="e">
        <v>#DIV/0!</v>
      </c>
    </row>
    <row r="532" spans="1:19" x14ac:dyDescent="0.3">
      <c r="A532" t="s">
        <v>1083</v>
      </c>
      <c r="B532" s="171" t="s">
        <v>1084</v>
      </c>
      <c r="C532" s="171" t="s">
        <v>119</v>
      </c>
      <c r="D532" s="171" t="s">
        <v>80</v>
      </c>
      <c r="E532" s="11">
        <v>41153</v>
      </c>
      <c r="H532" t="e">
        <v>#DIV/0!</v>
      </c>
      <c r="K532" t="e">
        <v>#DIV/0!</v>
      </c>
      <c r="M532" t="e">
        <v>#DIV/0!</v>
      </c>
      <c r="R532" t="e">
        <v>#DIV/0!</v>
      </c>
    </row>
    <row r="533" spans="1:19" x14ac:dyDescent="0.3">
      <c r="A533" t="s">
        <v>1085</v>
      </c>
      <c r="B533" s="171" t="s">
        <v>1086</v>
      </c>
      <c r="C533" s="171" t="s">
        <v>122</v>
      </c>
      <c r="D533" s="171" t="s">
        <v>4</v>
      </c>
      <c r="E533" s="11">
        <v>41153</v>
      </c>
      <c r="H533" t="e">
        <v>#DIV/0!</v>
      </c>
      <c r="K533" t="e">
        <v>#DIV/0!</v>
      </c>
      <c r="M533" t="e">
        <v>#DIV/0!</v>
      </c>
      <c r="R533" t="e">
        <v>#DIV/0!</v>
      </c>
    </row>
    <row r="534" spans="1:19" x14ac:dyDescent="0.3">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x14ac:dyDescent="0.3">
      <c r="A535" t="s">
        <v>1089</v>
      </c>
      <c r="B535" s="171" t="s">
        <v>1090</v>
      </c>
      <c r="C535" s="171" t="s">
        <v>128</v>
      </c>
      <c r="D535" s="171" t="s">
        <v>80</v>
      </c>
      <c r="E535" s="11">
        <v>41153</v>
      </c>
    </row>
    <row r="536" spans="1:19" x14ac:dyDescent="0.3">
      <c r="A536" t="s">
        <v>1091</v>
      </c>
      <c r="B536" s="171" t="s">
        <v>1092</v>
      </c>
      <c r="C536" s="171" t="s">
        <v>131</v>
      </c>
      <c r="D536" s="171" t="s">
        <v>80</v>
      </c>
      <c r="E536" s="11">
        <v>41153</v>
      </c>
      <c r="F536">
        <v>6</v>
      </c>
      <c r="G536">
        <v>4</v>
      </c>
      <c r="H536">
        <v>1.5</v>
      </c>
      <c r="K536" t="e">
        <v>#DIV/0!</v>
      </c>
      <c r="L536">
        <v>27.5</v>
      </c>
      <c r="M536">
        <v>0</v>
      </c>
      <c r="R536" t="e">
        <v>#DIV/0!</v>
      </c>
    </row>
    <row r="537" spans="1:19" x14ac:dyDescent="0.3">
      <c r="A537" t="s">
        <v>1093</v>
      </c>
      <c r="B537" s="171" t="s">
        <v>1094</v>
      </c>
      <c r="C537" s="171" t="s">
        <v>134</v>
      </c>
      <c r="D537" s="171" t="s">
        <v>80</v>
      </c>
      <c r="E537" s="11">
        <v>41153</v>
      </c>
    </row>
    <row r="538" spans="1:19" x14ac:dyDescent="0.3">
      <c r="A538" t="s">
        <v>1095</v>
      </c>
      <c r="B538" s="171" t="s">
        <v>1096</v>
      </c>
      <c r="C538" s="171" t="s">
        <v>137</v>
      </c>
      <c r="D538" s="171" t="s">
        <v>4</v>
      </c>
      <c r="E538" s="11">
        <v>41153</v>
      </c>
      <c r="R538" t="e">
        <v>#DIV/0!</v>
      </c>
    </row>
    <row r="539" spans="1:19" x14ac:dyDescent="0.3">
      <c r="A539" t="s">
        <v>1097</v>
      </c>
      <c r="B539" s="171" t="s">
        <v>1098</v>
      </c>
      <c r="C539" s="171" t="s">
        <v>140</v>
      </c>
      <c r="D539" s="171" t="s">
        <v>80</v>
      </c>
      <c r="E539" s="11">
        <v>41153</v>
      </c>
      <c r="R539" t="e">
        <v>#DIV/0!</v>
      </c>
    </row>
    <row r="540" spans="1:19" x14ac:dyDescent="0.3">
      <c r="A540" t="s">
        <v>1099</v>
      </c>
      <c r="B540" s="171" t="s">
        <v>1100</v>
      </c>
      <c r="C540" s="171" t="s">
        <v>143</v>
      </c>
      <c r="D540" s="171" t="s">
        <v>80</v>
      </c>
      <c r="E540" s="11">
        <v>41153</v>
      </c>
    </row>
    <row r="541" spans="1:19" x14ac:dyDescent="0.3">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x14ac:dyDescent="0.3">
      <c r="A542" t="s">
        <v>1103</v>
      </c>
      <c r="B542" s="171" t="s">
        <v>1104</v>
      </c>
      <c r="C542" s="171" t="s">
        <v>149</v>
      </c>
      <c r="D542" s="171" t="s">
        <v>80</v>
      </c>
      <c r="E542" s="11">
        <v>41153</v>
      </c>
      <c r="H542" t="e">
        <v>#DIV/0!</v>
      </c>
      <c r="K542" t="e">
        <v>#DIV/0!</v>
      </c>
      <c r="M542" t="e">
        <v>#DIV/0!</v>
      </c>
      <c r="R542" t="e">
        <v>#DIV/0!</v>
      </c>
    </row>
    <row r="543" spans="1:19" x14ac:dyDescent="0.3">
      <c r="A543" t="s">
        <v>1105</v>
      </c>
      <c r="B543" s="171" t="s">
        <v>1106</v>
      </c>
      <c r="C543" s="171" t="s">
        <v>152</v>
      </c>
      <c r="D543" s="171" t="s">
        <v>80</v>
      </c>
      <c r="E543" s="11">
        <v>41153</v>
      </c>
    </row>
    <row r="544" spans="1:19" x14ac:dyDescent="0.3">
      <c r="A544" t="s">
        <v>1107</v>
      </c>
      <c r="B544" s="171" t="s">
        <v>1108</v>
      </c>
      <c r="C544" s="171" t="s">
        <v>155</v>
      </c>
      <c r="D544" s="171" t="s">
        <v>80</v>
      </c>
      <c r="E544" s="11">
        <v>41153</v>
      </c>
      <c r="F544">
        <v>3</v>
      </c>
      <c r="G544">
        <v>3</v>
      </c>
      <c r="H544">
        <v>1</v>
      </c>
      <c r="J544">
        <v>17</v>
      </c>
      <c r="K544">
        <v>0</v>
      </c>
      <c r="L544">
        <v>27</v>
      </c>
      <c r="M544">
        <v>0.62962962962962965</v>
      </c>
      <c r="R544" t="e">
        <v>#DIV/0!</v>
      </c>
    </row>
    <row r="545" spans="1:20" x14ac:dyDescent="0.3">
      <c r="A545" t="s">
        <v>1109</v>
      </c>
      <c r="B545" s="171" t="s">
        <v>1110</v>
      </c>
      <c r="C545" s="171" t="s">
        <v>158</v>
      </c>
      <c r="D545" s="171" t="s">
        <v>80</v>
      </c>
      <c r="E545" s="11">
        <v>41153</v>
      </c>
      <c r="H545" t="e">
        <v>#DIV/0!</v>
      </c>
      <c r="K545" t="e">
        <v>#DIV/0!</v>
      </c>
      <c r="M545" t="e">
        <v>#DIV/0!</v>
      </c>
      <c r="R545" t="e">
        <v>#DIV/0!</v>
      </c>
    </row>
    <row r="546" spans="1:20" x14ac:dyDescent="0.3">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x14ac:dyDescent="0.3">
      <c r="A547" t="s">
        <v>1113</v>
      </c>
      <c r="B547" s="171" t="s">
        <v>1114</v>
      </c>
      <c r="C547" s="171" t="s">
        <v>164</v>
      </c>
      <c r="D547" s="171" t="s">
        <v>80</v>
      </c>
      <c r="E547" s="11">
        <v>41153</v>
      </c>
      <c r="F547">
        <v>1.5</v>
      </c>
      <c r="G547">
        <v>1.5</v>
      </c>
      <c r="H547">
        <v>1</v>
      </c>
      <c r="I547">
        <v>2</v>
      </c>
      <c r="K547" t="e">
        <v>#DIV/0!</v>
      </c>
      <c r="L547">
        <v>14.5</v>
      </c>
      <c r="M547">
        <v>0</v>
      </c>
      <c r="R547" t="e">
        <v>#DIV/0!</v>
      </c>
    </row>
    <row r="548" spans="1:20" x14ac:dyDescent="0.3">
      <c r="A548" t="s">
        <v>1115</v>
      </c>
      <c r="B548" s="171" t="s">
        <v>1116</v>
      </c>
      <c r="C548" s="171" t="s">
        <v>167</v>
      </c>
      <c r="D548" s="171" t="s">
        <v>4</v>
      </c>
      <c r="E548" s="11">
        <v>41153</v>
      </c>
      <c r="R548" t="e">
        <v>#DIV/0!</v>
      </c>
    </row>
    <row r="549" spans="1:20" x14ac:dyDescent="0.3">
      <c r="A549" t="s">
        <v>1117</v>
      </c>
      <c r="B549" s="171" t="s">
        <v>1118</v>
      </c>
      <c r="C549" s="171" t="s">
        <v>170</v>
      </c>
      <c r="D549" s="171" t="s">
        <v>80</v>
      </c>
      <c r="E549" s="11">
        <v>41153</v>
      </c>
      <c r="R549" t="e">
        <v>#DIV/0!</v>
      </c>
    </row>
    <row r="550" spans="1:20" x14ac:dyDescent="0.3">
      <c r="A550" t="s">
        <v>1119</v>
      </c>
      <c r="B550" s="171" t="s">
        <v>1120</v>
      </c>
      <c r="C550" s="171" t="s">
        <v>173</v>
      </c>
      <c r="D550" s="171" t="s">
        <v>80</v>
      </c>
      <c r="E550" s="11">
        <v>41153</v>
      </c>
      <c r="P550">
        <v>0</v>
      </c>
      <c r="Q550">
        <v>1</v>
      </c>
      <c r="R550">
        <v>0</v>
      </c>
    </row>
    <row r="551" spans="1:20" x14ac:dyDescent="0.3">
      <c r="A551" t="s">
        <v>1121</v>
      </c>
      <c r="B551" s="171" t="s">
        <v>1122</v>
      </c>
      <c r="C551" s="171" t="s">
        <v>176</v>
      </c>
      <c r="D551" s="171" t="s">
        <v>80</v>
      </c>
      <c r="E551" s="11">
        <v>41153</v>
      </c>
      <c r="P551">
        <v>0</v>
      </c>
      <c r="Q551">
        <v>1</v>
      </c>
      <c r="R551">
        <v>0</v>
      </c>
    </row>
    <row r="552" spans="1:20" x14ac:dyDescent="0.3">
      <c r="A552" t="s">
        <v>1123</v>
      </c>
      <c r="B552" s="171" t="s">
        <v>1124</v>
      </c>
      <c r="C552" s="171" t="s">
        <v>179</v>
      </c>
      <c r="D552" s="171" t="s">
        <v>4</v>
      </c>
      <c r="E552" s="11">
        <v>41153</v>
      </c>
      <c r="R552" t="e">
        <v>#DIV/0!</v>
      </c>
      <c r="T552">
        <v>0</v>
      </c>
    </row>
    <row r="553" spans="1:20" x14ac:dyDescent="0.3">
      <c r="A553" t="s">
        <v>1125</v>
      </c>
      <c r="B553" s="171" t="s">
        <v>1126</v>
      </c>
      <c r="C553" s="171" t="s">
        <v>182</v>
      </c>
      <c r="D553" s="171" t="s">
        <v>80</v>
      </c>
      <c r="E553" s="11">
        <v>41153</v>
      </c>
      <c r="R553" t="e">
        <v>#DIV/0!</v>
      </c>
      <c r="T553">
        <v>0</v>
      </c>
    </row>
    <row r="554" spans="1:20" x14ac:dyDescent="0.3">
      <c r="A554" t="s">
        <v>1127</v>
      </c>
      <c r="B554" s="171" t="s">
        <v>1128</v>
      </c>
      <c r="C554" s="171" t="s">
        <v>185</v>
      </c>
      <c r="D554" s="171" t="s">
        <v>4</v>
      </c>
      <c r="E554" s="11">
        <v>41153</v>
      </c>
      <c r="F554">
        <v>3</v>
      </c>
      <c r="G554">
        <v>3</v>
      </c>
      <c r="H554">
        <v>1</v>
      </c>
      <c r="K554" t="e">
        <v>#DIV/0!</v>
      </c>
      <c r="M554" t="e">
        <v>#DIV/0!</v>
      </c>
      <c r="R554" t="e">
        <v>#DIV/0!</v>
      </c>
      <c r="T554">
        <v>0.93125000000000002</v>
      </c>
    </row>
    <row r="555" spans="1:20" x14ac:dyDescent="0.3">
      <c r="A555" t="s">
        <v>1129</v>
      </c>
      <c r="B555" s="171" t="s">
        <v>1130</v>
      </c>
      <c r="C555" s="171" t="s">
        <v>188</v>
      </c>
      <c r="D555" s="171" t="s">
        <v>80</v>
      </c>
      <c r="E555" s="11">
        <v>41153</v>
      </c>
      <c r="F555">
        <v>3</v>
      </c>
      <c r="G555">
        <v>3</v>
      </c>
      <c r="H555">
        <v>1</v>
      </c>
      <c r="K555" t="e">
        <v>#DIV/0!</v>
      </c>
      <c r="M555" t="e">
        <v>#DIV/0!</v>
      </c>
      <c r="R555" t="e">
        <v>#DIV/0!</v>
      </c>
      <c r="T555">
        <v>0.75</v>
      </c>
    </row>
    <row r="556" spans="1:20" x14ac:dyDescent="0.3">
      <c r="A556" t="s">
        <v>1131</v>
      </c>
      <c r="B556" s="171" t="s">
        <v>1132</v>
      </c>
      <c r="C556" s="171" t="s">
        <v>191</v>
      </c>
      <c r="D556" s="171" t="s">
        <v>4</v>
      </c>
      <c r="E556" s="11">
        <v>41153</v>
      </c>
      <c r="T556">
        <v>1</v>
      </c>
    </row>
    <row r="557" spans="1:20" x14ac:dyDescent="0.3">
      <c r="A557" t="s">
        <v>1133</v>
      </c>
      <c r="B557" s="171" t="s">
        <v>1134</v>
      </c>
      <c r="C557" s="171" t="s">
        <v>194</v>
      </c>
      <c r="D557" s="171" t="s">
        <v>80</v>
      </c>
      <c r="E557" s="11">
        <v>41153</v>
      </c>
      <c r="T557">
        <v>0</v>
      </c>
    </row>
    <row r="558" spans="1:20" x14ac:dyDescent="0.3">
      <c r="A558" t="s">
        <v>1135</v>
      </c>
      <c r="B558" s="171" t="s">
        <v>1136</v>
      </c>
      <c r="C558" s="171" t="s">
        <v>197</v>
      </c>
      <c r="D558" s="171" t="s">
        <v>80</v>
      </c>
      <c r="E558" s="11">
        <v>41153</v>
      </c>
      <c r="T558">
        <v>0</v>
      </c>
    </row>
    <row r="559" spans="1:20" x14ac:dyDescent="0.3">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x14ac:dyDescent="0.3">
      <c r="A560" t="s">
        <v>1139</v>
      </c>
      <c r="B560" s="171" t="s">
        <v>1140</v>
      </c>
      <c r="C560" s="171" t="s">
        <v>203</v>
      </c>
      <c r="D560" s="171" t="s">
        <v>80</v>
      </c>
      <c r="E560" s="11">
        <v>41153</v>
      </c>
      <c r="H560" t="e">
        <v>#DIV/0!</v>
      </c>
      <c r="K560" t="e">
        <v>#DIV/0!</v>
      </c>
      <c r="M560" t="e">
        <v>#DIV/0!</v>
      </c>
      <c r="R560" t="e">
        <v>#DIV/0!</v>
      </c>
      <c r="T560">
        <v>0.99722222222222223</v>
      </c>
    </row>
    <row r="561" spans="1:20" x14ac:dyDescent="0.3">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x14ac:dyDescent="0.3">
      <c r="A562" t="s">
        <v>1143</v>
      </c>
      <c r="B562" s="171" t="s">
        <v>1144</v>
      </c>
      <c r="C562" s="171" t="s">
        <v>209</v>
      </c>
      <c r="D562" s="171" t="s">
        <v>80</v>
      </c>
      <c r="E562" s="11">
        <v>41153</v>
      </c>
      <c r="H562" t="e">
        <v>#DIV/0!</v>
      </c>
      <c r="K562" t="e">
        <v>#DIV/0!</v>
      </c>
      <c r="M562" t="e">
        <v>#DIV/0!</v>
      </c>
      <c r="R562" t="e">
        <v>#DIV/0!</v>
      </c>
      <c r="T562">
        <v>0.9375</v>
      </c>
    </row>
    <row r="563" spans="1:20" x14ac:dyDescent="0.3">
      <c r="A563" t="s">
        <v>1145</v>
      </c>
      <c r="B563" s="171" t="s">
        <v>1146</v>
      </c>
      <c r="C563" s="171" t="s">
        <v>212</v>
      </c>
      <c r="D563" s="171" t="s">
        <v>4</v>
      </c>
      <c r="E563" s="11">
        <v>41153</v>
      </c>
      <c r="H563" t="e">
        <v>#DIV/0!</v>
      </c>
      <c r="K563" t="e">
        <v>#DIV/0!</v>
      </c>
      <c r="M563" t="e">
        <v>#DIV/0!</v>
      </c>
      <c r="R563" t="e">
        <v>#DIV/0!</v>
      </c>
    </row>
    <row r="564" spans="1:20" x14ac:dyDescent="0.3">
      <c r="A564" t="s">
        <v>1147</v>
      </c>
      <c r="B564" s="171" t="s">
        <v>1148</v>
      </c>
      <c r="C564" s="171" t="s">
        <v>215</v>
      </c>
      <c r="D564" s="171" t="s">
        <v>4</v>
      </c>
      <c r="E564" s="11">
        <v>41153</v>
      </c>
      <c r="R564" t="e">
        <v>#DIV/0!</v>
      </c>
    </row>
    <row r="565" spans="1:20" x14ac:dyDescent="0.3">
      <c r="A565" t="s">
        <v>1149</v>
      </c>
      <c r="B565" s="171" t="s">
        <v>1150</v>
      </c>
      <c r="C565" s="171" t="s">
        <v>218</v>
      </c>
      <c r="D565" s="171" t="s">
        <v>80</v>
      </c>
      <c r="E565" s="11">
        <v>41153</v>
      </c>
      <c r="R565" t="e">
        <v>#DIV/0!</v>
      </c>
    </row>
    <row r="566" spans="1:20" x14ac:dyDescent="0.3">
      <c r="A566" t="s">
        <v>1151</v>
      </c>
      <c r="B566" s="171" t="s">
        <v>1152</v>
      </c>
      <c r="C566" s="171" t="s">
        <v>221</v>
      </c>
      <c r="D566" s="171" t="s">
        <v>4</v>
      </c>
      <c r="E566" s="11">
        <v>41153</v>
      </c>
      <c r="F566">
        <v>1</v>
      </c>
      <c r="G566">
        <v>1</v>
      </c>
      <c r="H566">
        <v>1</v>
      </c>
      <c r="I566">
        <v>0</v>
      </c>
      <c r="L566">
        <v>0</v>
      </c>
      <c r="M566" t="e">
        <v>#DIV/0!</v>
      </c>
      <c r="R566" t="e">
        <v>#DIV/0!</v>
      </c>
    </row>
    <row r="567" spans="1:20" x14ac:dyDescent="0.3">
      <c r="A567" t="s">
        <v>1153</v>
      </c>
      <c r="B567" s="171" t="s">
        <v>1154</v>
      </c>
      <c r="C567" s="171" t="s">
        <v>224</v>
      </c>
      <c r="D567" s="171" t="s">
        <v>80</v>
      </c>
      <c r="E567" s="11">
        <v>41153</v>
      </c>
      <c r="H567" t="e">
        <v>#DIV/0!</v>
      </c>
      <c r="K567" t="e">
        <v>#DIV/0!</v>
      </c>
      <c r="M567" t="e">
        <v>#DIV/0!</v>
      </c>
      <c r="R567" t="e">
        <v>#DIV/0!</v>
      </c>
      <c r="T567">
        <v>0.52</v>
      </c>
    </row>
    <row r="568" spans="1:20" x14ac:dyDescent="0.3">
      <c r="A568" t="s">
        <v>1155</v>
      </c>
      <c r="B568" s="171" t="s">
        <v>1156</v>
      </c>
      <c r="C568" s="171" t="s">
        <v>227</v>
      </c>
      <c r="D568" s="171" t="s">
        <v>80</v>
      </c>
      <c r="E568" s="11">
        <v>41153</v>
      </c>
      <c r="F568">
        <v>1</v>
      </c>
      <c r="G568">
        <v>1</v>
      </c>
      <c r="H568">
        <v>1</v>
      </c>
      <c r="K568" t="e">
        <v>#DIV/0!</v>
      </c>
      <c r="M568" t="e">
        <v>#DIV/0!</v>
      </c>
      <c r="R568" t="e">
        <v>#DIV/0!</v>
      </c>
      <c r="T568">
        <v>0.97500000000000009</v>
      </c>
    </row>
    <row r="569" spans="1:20" x14ac:dyDescent="0.3">
      <c r="A569" t="s">
        <v>1157</v>
      </c>
      <c r="B569" s="171" t="s">
        <v>1158</v>
      </c>
      <c r="C569" s="171" t="s">
        <v>230</v>
      </c>
      <c r="D569" s="171" t="s">
        <v>80</v>
      </c>
      <c r="E569" s="11">
        <v>41153</v>
      </c>
      <c r="H569" t="e">
        <v>#DIV/0!</v>
      </c>
      <c r="K569" t="e">
        <v>#DIV/0!</v>
      </c>
      <c r="M569" t="e">
        <v>#DIV/0!</v>
      </c>
      <c r="R569" t="e">
        <v>#DIV/0!</v>
      </c>
    </row>
    <row r="570" spans="1:20" x14ac:dyDescent="0.3">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x14ac:dyDescent="0.3">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x14ac:dyDescent="0.3">
      <c r="A572" t="s">
        <v>1163</v>
      </c>
      <c r="B572" s="171" t="s">
        <v>1164</v>
      </c>
      <c r="C572" s="171" t="s">
        <v>239</v>
      </c>
      <c r="D572" s="171" t="s">
        <v>80</v>
      </c>
      <c r="E572" s="11">
        <v>41153</v>
      </c>
      <c r="F572">
        <v>0.5</v>
      </c>
      <c r="G572">
        <v>5</v>
      </c>
      <c r="H572">
        <v>0.1</v>
      </c>
      <c r="I572">
        <v>2</v>
      </c>
      <c r="L572">
        <v>9</v>
      </c>
      <c r="M572">
        <v>0</v>
      </c>
      <c r="R572" t="e">
        <v>#DIV/0!</v>
      </c>
    </row>
    <row r="573" spans="1:20" x14ac:dyDescent="0.3">
      <c r="A573" t="s">
        <v>1165</v>
      </c>
      <c r="B573" s="171" t="s">
        <v>1166</v>
      </c>
      <c r="C573" s="171" t="s">
        <v>76</v>
      </c>
      <c r="D573" s="171" t="s">
        <v>80</v>
      </c>
      <c r="E573" s="11">
        <v>41153</v>
      </c>
      <c r="F573">
        <v>1</v>
      </c>
      <c r="G573">
        <v>2.5</v>
      </c>
      <c r="H573">
        <v>0.4</v>
      </c>
      <c r="I573">
        <v>4</v>
      </c>
      <c r="K573" t="e">
        <v>#DIV/0!</v>
      </c>
      <c r="L573">
        <v>14.5</v>
      </c>
      <c r="M573">
        <v>0</v>
      </c>
      <c r="R573" t="e">
        <v>#DIV/0!</v>
      </c>
    </row>
    <row r="574" spans="1:20" x14ac:dyDescent="0.3">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x14ac:dyDescent="0.3">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x14ac:dyDescent="0.3">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x14ac:dyDescent="0.3">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x14ac:dyDescent="0.3">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x14ac:dyDescent="0.3">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x14ac:dyDescent="0.3">
      <c r="A581" t="s">
        <v>1181</v>
      </c>
      <c r="B581" s="171" t="s">
        <v>1182</v>
      </c>
      <c r="C581" s="171" t="s">
        <v>110</v>
      </c>
      <c r="D581" s="171" t="s">
        <v>4</v>
      </c>
      <c r="E581" s="11">
        <v>41153</v>
      </c>
      <c r="H581" t="e">
        <v>#DIV/0!</v>
      </c>
      <c r="I581">
        <v>2</v>
      </c>
      <c r="L581">
        <v>0</v>
      </c>
      <c r="M581" t="e">
        <v>#DIV/0!</v>
      </c>
      <c r="R581" t="e">
        <v>#DIV/0!</v>
      </c>
    </row>
    <row r="582" spans="1:20" x14ac:dyDescent="0.3">
      <c r="A582" t="s">
        <v>1183</v>
      </c>
      <c r="B582" s="171" t="s">
        <v>1184</v>
      </c>
      <c r="C582" s="171" t="s">
        <v>113</v>
      </c>
      <c r="D582" s="171" t="s">
        <v>4</v>
      </c>
      <c r="E582" s="11">
        <v>41153</v>
      </c>
      <c r="F582">
        <v>6</v>
      </c>
      <c r="G582">
        <v>4</v>
      </c>
      <c r="H582">
        <v>1.5</v>
      </c>
      <c r="K582" t="e">
        <v>#DIV/0!</v>
      </c>
      <c r="L582">
        <v>20</v>
      </c>
      <c r="M582">
        <v>0</v>
      </c>
      <c r="R582" t="e">
        <v>#DIV/0!</v>
      </c>
    </row>
    <row r="583" spans="1:20" x14ac:dyDescent="0.3">
      <c r="A583" t="s">
        <v>1185</v>
      </c>
      <c r="B583" s="171" t="s">
        <v>1186</v>
      </c>
      <c r="C583" s="171" t="s">
        <v>116</v>
      </c>
      <c r="D583" s="171" t="s">
        <v>4</v>
      </c>
      <c r="E583" s="11">
        <v>41153</v>
      </c>
      <c r="H583" t="e">
        <v>#DIV/0!</v>
      </c>
      <c r="M583" t="e">
        <v>#DIV/0!</v>
      </c>
      <c r="R583" t="e">
        <v>#DIV/0!</v>
      </c>
    </row>
    <row r="584" spans="1:20" x14ac:dyDescent="0.3">
      <c r="A584" t="s">
        <v>1187</v>
      </c>
      <c r="B584" s="171" t="s">
        <v>1188</v>
      </c>
      <c r="C584" s="171" t="s">
        <v>119</v>
      </c>
      <c r="D584" s="171" t="s">
        <v>4</v>
      </c>
      <c r="E584" s="11">
        <v>41153</v>
      </c>
      <c r="H584" t="e">
        <v>#DIV/0!</v>
      </c>
      <c r="K584" t="e">
        <v>#DIV/0!</v>
      </c>
      <c r="M584" t="e">
        <v>#DIV/0!</v>
      </c>
      <c r="R584" t="e">
        <v>#DIV/0!</v>
      </c>
    </row>
    <row r="585" spans="1:20" x14ac:dyDescent="0.3">
      <c r="A585" t="s">
        <v>1189</v>
      </c>
      <c r="B585" s="171" t="s">
        <v>1190</v>
      </c>
      <c r="C585" s="171" t="s">
        <v>122</v>
      </c>
      <c r="D585" s="171" t="s">
        <v>80</v>
      </c>
      <c r="E585" s="11">
        <v>41153</v>
      </c>
      <c r="H585" t="e">
        <v>#DIV/0!</v>
      </c>
      <c r="K585" t="e">
        <v>#DIV/0!</v>
      </c>
      <c r="M585" t="e">
        <v>#DIV/0!</v>
      </c>
      <c r="R585" t="e">
        <v>#DIV/0!</v>
      </c>
    </row>
    <row r="586" spans="1:20" x14ac:dyDescent="0.3">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x14ac:dyDescent="0.3">
      <c r="A587" t="s">
        <v>1193</v>
      </c>
      <c r="B587" s="171" t="s">
        <v>1194</v>
      </c>
      <c r="C587" s="171" t="s">
        <v>128</v>
      </c>
      <c r="D587" s="171" t="s">
        <v>4</v>
      </c>
      <c r="E587" s="11">
        <v>41153</v>
      </c>
    </row>
    <row r="588" spans="1:20" x14ac:dyDescent="0.3">
      <c r="A588" t="s">
        <v>1195</v>
      </c>
      <c r="B588" s="171" t="s">
        <v>1196</v>
      </c>
      <c r="C588" s="171" t="s">
        <v>131</v>
      </c>
      <c r="D588" s="171" t="s">
        <v>4</v>
      </c>
      <c r="E588" s="11">
        <v>41153</v>
      </c>
      <c r="F588">
        <v>6</v>
      </c>
      <c r="G588">
        <v>4</v>
      </c>
      <c r="H588">
        <v>1.5</v>
      </c>
      <c r="K588" t="e">
        <v>#DIV/0!</v>
      </c>
      <c r="L588">
        <v>27.5</v>
      </c>
      <c r="M588">
        <v>0</v>
      </c>
      <c r="R588" t="e">
        <v>#DIV/0!</v>
      </c>
    </row>
    <row r="589" spans="1:20" x14ac:dyDescent="0.3">
      <c r="A589" t="s">
        <v>1197</v>
      </c>
      <c r="B589" s="171" t="s">
        <v>1198</v>
      </c>
      <c r="C589" s="171" t="s">
        <v>134</v>
      </c>
      <c r="D589" s="171" t="s">
        <v>4</v>
      </c>
      <c r="E589" s="11">
        <v>41153</v>
      </c>
      <c r="T589">
        <v>0.83333333333333337</v>
      </c>
    </row>
    <row r="590" spans="1:20" x14ac:dyDescent="0.3">
      <c r="A590" t="s">
        <v>1199</v>
      </c>
      <c r="B590" s="171" t="s">
        <v>1200</v>
      </c>
      <c r="C590" s="171" t="s">
        <v>137</v>
      </c>
      <c r="D590" s="171" t="s">
        <v>80</v>
      </c>
      <c r="E590" s="11">
        <v>41153</v>
      </c>
      <c r="R590" t="e">
        <v>#DIV/0!</v>
      </c>
      <c r="T590">
        <v>0.625</v>
      </c>
    </row>
    <row r="591" spans="1:20" x14ac:dyDescent="0.3">
      <c r="A591" t="s">
        <v>1201</v>
      </c>
      <c r="B591" s="171" t="s">
        <v>1202</v>
      </c>
      <c r="C591" s="171" t="s">
        <v>140</v>
      </c>
      <c r="D591" s="171" t="s">
        <v>4</v>
      </c>
      <c r="E591" s="11">
        <v>41153</v>
      </c>
      <c r="R591" t="e">
        <v>#DIV/0!</v>
      </c>
    </row>
    <row r="592" spans="1:20" x14ac:dyDescent="0.3">
      <c r="A592" t="s">
        <v>1203</v>
      </c>
      <c r="B592" s="171" t="s">
        <v>1204</v>
      </c>
      <c r="C592" s="171" t="s">
        <v>167</v>
      </c>
      <c r="D592" s="171" t="s">
        <v>80</v>
      </c>
      <c r="E592" s="11">
        <v>41153</v>
      </c>
      <c r="R592" t="e">
        <v>#DIV/0!</v>
      </c>
    </row>
    <row r="593" spans="1:20" x14ac:dyDescent="0.3">
      <c r="A593" t="s">
        <v>1205</v>
      </c>
      <c r="B593" s="171" t="s">
        <v>1206</v>
      </c>
      <c r="C593" s="171" t="s">
        <v>170</v>
      </c>
      <c r="D593" s="171" t="s">
        <v>4</v>
      </c>
      <c r="E593" s="11">
        <v>41153</v>
      </c>
      <c r="R593" t="e">
        <v>#DIV/0!</v>
      </c>
    </row>
    <row r="594" spans="1:20" x14ac:dyDescent="0.3">
      <c r="A594" t="s">
        <v>1207</v>
      </c>
      <c r="B594" s="171" t="s">
        <v>1208</v>
      </c>
      <c r="C594" s="171" t="s">
        <v>179</v>
      </c>
      <c r="D594" s="171" t="s">
        <v>80</v>
      </c>
      <c r="E594" s="11">
        <v>41153</v>
      </c>
      <c r="R594" t="e">
        <v>#DIV/0!</v>
      </c>
    </row>
    <row r="595" spans="1:20" x14ac:dyDescent="0.3">
      <c r="A595" t="s">
        <v>1209</v>
      </c>
      <c r="B595" s="171" t="s">
        <v>1210</v>
      </c>
      <c r="C595" s="171" t="s">
        <v>182</v>
      </c>
      <c r="D595" s="171" t="s">
        <v>4</v>
      </c>
      <c r="E595" s="11">
        <v>41153</v>
      </c>
      <c r="R595" t="e">
        <v>#DIV/0!</v>
      </c>
    </row>
    <row r="596" spans="1:20" x14ac:dyDescent="0.3">
      <c r="A596" t="s">
        <v>1211</v>
      </c>
      <c r="B596" s="171" t="s">
        <v>1212</v>
      </c>
      <c r="C596" s="171" t="s">
        <v>185</v>
      </c>
      <c r="D596" s="171" t="s">
        <v>80</v>
      </c>
      <c r="E596" s="11">
        <v>41153</v>
      </c>
      <c r="F596">
        <v>3</v>
      </c>
      <c r="G596">
        <v>3</v>
      </c>
      <c r="H596">
        <v>1</v>
      </c>
      <c r="K596" t="e">
        <v>#DIV/0!</v>
      </c>
      <c r="M596" t="e">
        <v>#DIV/0!</v>
      </c>
      <c r="R596" t="e">
        <v>#DIV/0!</v>
      </c>
    </row>
    <row r="597" spans="1:20" x14ac:dyDescent="0.3">
      <c r="A597" t="s">
        <v>1213</v>
      </c>
      <c r="B597" s="171" t="s">
        <v>1214</v>
      </c>
      <c r="C597" s="171" t="s">
        <v>188</v>
      </c>
      <c r="D597" s="171" t="s">
        <v>4</v>
      </c>
      <c r="E597" s="11">
        <v>41153</v>
      </c>
      <c r="F597">
        <v>3</v>
      </c>
      <c r="G597">
        <v>3</v>
      </c>
      <c r="H597">
        <v>1</v>
      </c>
      <c r="K597" t="e">
        <v>#DIV/0!</v>
      </c>
      <c r="M597" t="e">
        <v>#DIV/0!</v>
      </c>
      <c r="R597" t="e">
        <v>#DIV/0!</v>
      </c>
    </row>
    <row r="598" spans="1:20" x14ac:dyDescent="0.3">
      <c r="A598" t="s">
        <v>1215</v>
      </c>
      <c r="B598" s="171" t="s">
        <v>1216</v>
      </c>
      <c r="C598" s="171" t="s">
        <v>191</v>
      </c>
      <c r="D598" s="171" t="s">
        <v>80</v>
      </c>
      <c r="E598" s="11">
        <v>41153</v>
      </c>
    </row>
    <row r="599" spans="1:20" x14ac:dyDescent="0.3">
      <c r="A599" t="s">
        <v>1217</v>
      </c>
      <c r="B599" s="171" t="s">
        <v>1218</v>
      </c>
      <c r="C599" s="171" t="s">
        <v>194</v>
      </c>
      <c r="D599" s="171" t="s">
        <v>4</v>
      </c>
      <c r="E599" s="11">
        <v>41153</v>
      </c>
    </row>
    <row r="600" spans="1:20" x14ac:dyDescent="0.3">
      <c r="A600" t="s">
        <v>1219</v>
      </c>
      <c r="B600" s="171" t="s">
        <v>1220</v>
      </c>
      <c r="C600" s="171" t="s">
        <v>197</v>
      </c>
      <c r="D600" s="171" t="s">
        <v>4</v>
      </c>
      <c r="E600" s="11">
        <v>41153</v>
      </c>
    </row>
    <row r="601" spans="1:20" x14ac:dyDescent="0.3">
      <c r="A601" t="s">
        <v>1221</v>
      </c>
      <c r="B601" s="171" t="s">
        <v>1222</v>
      </c>
      <c r="C601" s="171" t="s">
        <v>209</v>
      </c>
      <c r="D601" s="171" t="s">
        <v>4</v>
      </c>
      <c r="E601" s="11">
        <v>41153</v>
      </c>
      <c r="H601" t="e">
        <v>#DIV/0!</v>
      </c>
      <c r="K601" t="e">
        <v>#DIV/0!</v>
      </c>
      <c r="M601" t="e">
        <v>#DIV/0!</v>
      </c>
      <c r="R601" t="e">
        <v>#DIV/0!</v>
      </c>
    </row>
    <row r="602" spans="1:20" x14ac:dyDescent="0.3">
      <c r="A602" t="s">
        <v>1223</v>
      </c>
      <c r="B602" s="171" t="s">
        <v>1224</v>
      </c>
      <c r="C602" s="171" t="s">
        <v>212</v>
      </c>
      <c r="D602" s="171" t="s">
        <v>80</v>
      </c>
      <c r="E602" s="11">
        <v>41153</v>
      </c>
      <c r="H602" t="e">
        <v>#DIV/0!</v>
      </c>
      <c r="K602" t="e">
        <v>#DIV/0!</v>
      </c>
      <c r="M602" t="e">
        <v>#DIV/0!</v>
      </c>
      <c r="R602" t="e">
        <v>#DIV/0!</v>
      </c>
    </row>
    <row r="603" spans="1:20" x14ac:dyDescent="0.3">
      <c r="A603" t="s">
        <v>1225</v>
      </c>
      <c r="B603" s="171" t="s">
        <v>1226</v>
      </c>
      <c r="C603" s="171" t="s">
        <v>215</v>
      </c>
      <c r="D603" s="171" t="s">
        <v>80</v>
      </c>
      <c r="E603" s="11">
        <v>41153</v>
      </c>
      <c r="R603" t="e">
        <v>#DIV/0!</v>
      </c>
      <c r="T603">
        <v>0.77575757575757576</v>
      </c>
    </row>
    <row r="604" spans="1:20" x14ac:dyDescent="0.3">
      <c r="A604" t="s">
        <v>1227</v>
      </c>
      <c r="B604" s="171" t="s">
        <v>1228</v>
      </c>
      <c r="C604" s="171" t="s">
        <v>218</v>
      </c>
      <c r="D604" s="171" t="s">
        <v>4</v>
      </c>
      <c r="E604" s="11">
        <v>41153</v>
      </c>
      <c r="R604" t="e">
        <v>#DIV/0!</v>
      </c>
      <c r="T604">
        <v>0.75</v>
      </c>
    </row>
    <row r="605" spans="1:20" x14ac:dyDescent="0.3">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x14ac:dyDescent="0.3">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x14ac:dyDescent="0.3">
      <c r="A607" t="s">
        <v>1233</v>
      </c>
      <c r="B607" s="171" t="s">
        <v>1234</v>
      </c>
      <c r="C607" s="171" t="s">
        <v>239</v>
      </c>
      <c r="D607" s="171" t="s">
        <v>4</v>
      </c>
      <c r="E607" s="11">
        <v>41153</v>
      </c>
      <c r="F607">
        <v>0.5</v>
      </c>
      <c r="G607">
        <v>5</v>
      </c>
      <c r="H607">
        <v>0.1</v>
      </c>
      <c r="I607">
        <v>2</v>
      </c>
      <c r="L607">
        <v>9</v>
      </c>
      <c r="M607">
        <v>0</v>
      </c>
      <c r="R607" t="e">
        <v>#DIV/0!</v>
      </c>
    </row>
    <row r="608" spans="1:20" x14ac:dyDescent="0.3">
      <c r="A608" t="s">
        <v>1235</v>
      </c>
      <c r="B608" s="171" t="s">
        <v>1236</v>
      </c>
      <c r="C608" s="171" t="s">
        <v>143</v>
      </c>
      <c r="D608" s="171" t="s">
        <v>4</v>
      </c>
      <c r="E608" s="11">
        <v>41153</v>
      </c>
      <c r="T608">
        <v>0</v>
      </c>
    </row>
    <row r="609" spans="1:20" x14ac:dyDescent="0.3">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1239</v>
      </c>
      <c r="B610" s="171" t="s">
        <v>1240</v>
      </c>
      <c r="C610" s="171" t="s">
        <v>149</v>
      </c>
      <c r="D610" s="171" t="s">
        <v>4</v>
      </c>
      <c r="E610" s="11">
        <v>41153</v>
      </c>
      <c r="H610" t="e">
        <v>#DIV/0!</v>
      </c>
      <c r="K610" t="e">
        <v>#DIV/0!</v>
      </c>
      <c r="M610" t="e">
        <v>#DIV/0!</v>
      </c>
      <c r="R610" t="e">
        <v>#DIV/0!</v>
      </c>
      <c r="T610">
        <v>0.96562499999999996</v>
      </c>
    </row>
    <row r="611" spans="1:20" x14ac:dyDescent="0.3">
      <c r="A611" t="s">
        <v>1241</v>
      </c>
      <c r="B611" s="171" t="s">
        <v>1242</v>
      </c>
      <c r="C611" s="171" t="s">
        <v>152</v>
      </c>
      <c r="D611" s="171" t="s">
        <v>4</v>
      </c>
      <c r="E611" s="11">
        <v>41153</v>
      </c>
      <c r="T611">
        <v>0.75</v>
      </c>
    </row>
    <row r="612" spans="1:20" x14ac:dyDescent="0.3">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x14ac:dyDescent="0.3">
      <c r="A613" t="s">
        <v>1245</v>
      </c>
      <c r="B613" s="171" t="s">
        <v>1246</v>
      </c>
      <c r="C613" s="171" t="s">
        <v>158</v>
      </c>
      <c r="D613" s="171" t="s">
        <v>4</v>
      </c>
      <c r="E613" s="11">
        <v>41153</v>
      </c>
      <c r="H613" t="e">
        <v>#DIV/0!</v>
      </c>
      <c r="K613" t="e">
        <v>#DIV/0!</v>
      </c>
      <c r="M613" t="e">
        <v>#DIV/0!</v>
      </c>
      <c r="R613" t="e">
        <v>#DIV/0!</v>
      </c>
      <c r="T613">
        <v>0</v>
      </c>
    </row>
    <row r="614" spans="1:20" x14ac:dyDescent="0.3">
      <c r="A614" t="s">
        <v>1247</v>
      </c>
      <c r="B614" s="171" t="s">
        <v>1248</v>
      </c>
      <c r="C614" s="171" t="s">
        <v>164</v>
      </c>
      <c r="D614" s="171" t="s">
        <v>4</v>
      </c>
      <c r="E614" s="11">
        <v>41153</v>
      </c>
      <c r="F614">
        <v>1.5</v>
      </c>
      <c r="G614">
        <v>1.5</v>
      </c>
      <c r="H614">
        <v>1</v>
      </c>
      <c r="I614">
        <v>2</v>
      </c>
      <c r="K614" t="e">
        <v>#DIV/0!</v>
      </c>
      <c r="L614">
        <v>14.5</v>
      </c>
      <c r="M614">
        <v>0</v>
      </c>
      <c r="R614" t="e">
        <v>#DIV/0!</v>
      </c>
      <c r="T614">
        <v>0</v>
      </c>
    </row>
    <row r="615" spans="1:20" x14ac:dyDescent="0.3">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x14ac:dyDescent="0.3">
      <c r="A616" t="s">
        <v>1251</v>
      </c>
      <c r="B616" s="171" t="s">
        <v>1252</v>
      </c>
      <c r="C616" s="171" t="s">
        <v>221</v>
      </c>
      <c r="D616" s="171" t="s">
        <v>80</v>
      </c>
      <c r="E616" s="11">
        <v>41153</v>
      </c>
      <c r="F616">
        <v>1</v>
      </c>
      <c r="G616">
        <v>1</v>
      </c>
      <c r="H616">
        <v>1</v>
      </c>
      <c r="I616">
        <v>0</v>
      </c>
      <c r="L616">
        <v>0</v>
      </c>
      <c r="M616" t="e">
        <v>#DIV/0!</v>
      </c>
      <c r="R616" t="e">
        <v>#DIV/0!</v>
      </c>
      <c r="T616">
        <v>1.0125</v>
      </c>
    </row>
    <row r="617" spans="1:20" x14ac:dyDescent="0.3">
      <c r="A617" t="s">
        <v>1253</v>
      </c>
      <c r="B617" s="171" t="s">
        <v>1254</v>
      </c>
      <c r="C617" s="171" t="s">
        <v>224</v>
      </c>
      <c r="D617" s="171" t="s">
        <v>4</v>
      </c>
      <c r="E617" s="11">
        <v>41153</v>
      </c>
      <c r="H617" t="e">
        <v>#DIV/0!</v>
      </c>
      <c r="K617" t="e">
        <v>#DIV/0!</v>
      </c>
      <c r="M617" t="e">
        <v>#DIV/0!</v>
      </c>
      <c r="R617" t="e">
        <v>#DIV/0!</v>
      </c>
      <c r="T617">
        <v>0.7142857142857143</v>
      </c>
    </row>
    <row r="618" spans="1:20" x14ac:dyDescent="0.3">
      <c r="A618" t="s">
        <v>1255</v>
      </c>
      <c r="B618" s="171" t="s">
        <v>1256</v>
      </c>
      <c r="C618" s="171" t="s">
        <v>227</v>
      </c>
      <c r="D618" s="171" t="s">
        <v>4</v>
      </c>
      <c r="E618" s="11">
        <v>41153</v>
      </c>
      <c r="F618">
        <v>1</v>
      </c>
      <c r="G618">
        <v>1</v>
      </c>
      <c r="H618">
        <v>1</v>
      </c>
      <c r="K618" t="e">
        <v>#DIV/0!</v>
      </c>
      <c r="M618" t="e">
        <v>#DIV/0!</v>
      </c>
      <c r="R618" t="e">
        <v>#DIV/0!</v>
      </c>
      <c r="T618">
        <v>0.9375</v>
      </c>
    </row>
    <row r="619" spans="1:20" x14ac:dyDescent="0.3">
      <c r="A619" t="s">
        <v>1257</v>
      </c>
      <c r="B619" s="171" t="s">
        <v>1258</v>
      </c>
      <c r="C619" s="171" t="s">
        <v>230</v>
      </c>
      <c r="D619" s="171" t="s">
        <v>4</v>
      </c>
      <c r="E619" s="11">
        <v>41153</v>
      </c>
      <c r="H619" t="e">
        <v>#DIV/0!</v>
      </c>
      <c r="K619" t="e">
        <v>#DIV/0!</v>
      </c>
      <c r="M619" t="e">
        <v>#DIV/0!</v>
      </c>
      <c r="R619" t="e">
        <v>#DIV/0!</v>
      </c>
    </row>
    <row r="620" spans="1:20" x14ac:dyDescent="0.3">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x14ac:dyDescent="0.3">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x14ac:dyDescent="0.3">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x14ac:dyDescent="0.3">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x14ac:dyDescent="0.3">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x14ac:dyDescent="0.3">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x14ac:dyDescent="0.3">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x14ac:dyDescent="0.3">
      <c r="A632" t="s">
        <v>1283</v>
      </c>
      <c r="B632" s="171" t="s">
        <v>1284</v>
      </c>
      <c r="C632" s="171" t="s">
        <v>110</v>
      </c>
      <c r="D632" s="171" t="s">
        <v>80</v>
      </c>
      <c r="E632" s="11">
        <v>41183</v>
      </c>
      <c r="H632" t="e">
        <v>#DIV/0!</v>
      </c>
      <c r="I632">
        <v>4</v>
      </c>
      <c r="L632">
        <v>0</v>
      </c>
      <c r="M632" t="e">
        <v>#DIV/0!</v>
      </c>
      <c r="R632" t="e">
        <v>#DIV/0!</v>
      </c>
      <c r="T632">
        <v>1.175</v>
      </c>
    </row>
    <row r="633" spans="1:20" x14ac:dyDescent="0.3">
      <c r="A633" t="s">
        <v>1285</v>
      </c>
      <c r="B633" s="171" t="s">
        <v>1286</v>
      </c>
      <c r="C633" s="171" t="s">
        <v>113</v>
      </c>
      <c r="D633" s="171" t="s">
        <v>80</v>
      </c>
      <c r="E633" s="11">
        <v>41183</v>
      </c>
      <c r="F633">
        <v>6</v>
      </c>
      <c r="G633">
        <v>4</v>
      </c>
      <c r="H633">
        <v>1.5</v>
      </c>
      <c r="K633" t="e">
        <v>#DIV/0!</v>
      </c>
      <c r="L633">
        <v>20</v>
      </c>
      <c r="M633">
        <v>0</v>
      </c>
      <c r="R633" t="e">
        <v>#DIV/0!</v>
      </c>
    </row>
    <row r="634" spans="1:20" x14ac:dyDescent="0.3">
      <c r="A634" t="s">
        <v>1287</v>
      </c>
      <c r="B634" s="171" t="s">
        <v>1288</v>
      </c>
      <c r="C634" s="171" t="s">
        <v>116</v>
      </c>
      <c r="D634" s="171" t="s">
        <v>80</v>
      </c>
      <c r="E634" s="11">
        <v>41183</v>
      </c>
      <c r="H634" t="e">
        <v>#DIV/0!</v>
      </c>
      <c r="M634" t="e">
        <v>#DIV/0!</v>
      </c>
      <c r="R634" t="e">
        <v>#DIV/0!</v>
      </c>
    </row>
    <row r="635" spans="1:20" x14ac:dyDescent="0.3">
      <c r="A635" t="s">
        <v>1289</v>
      </c>
      <c r="B635" s="171" t="s">
        <v>1290</v>
      </c>
      <c r="C635" s="171" t="s">
        <v>119</v>
      </c>
      <c r="D635" s="171" t="s">
        <v>80</v>
      </c>
      <c r="E635" s="11">
        <v>41183</v>
      </c>
      <c r="H635" t="e">
        <v>#DIV/0!</v>
      </c>
      <c r="K635" t="e">
        <v>#DIV/0!</v>
      </c>
      <c r="M635" t="e">
        <v>#DIV/0!</v>
      </c>
      <c r="R635" t="e">
        <v>#DIV/0!</v>
      </c>
    </row>
    <row r="636" spans="1:20" x14ac:dyDescent="0.3">
      <c r="A636" t="s">
        <v>1291</v>
      </c>
      <c r="B636" s="171" t="s">
        <v>1292</v>
      </c>
      <c r="C636" s="171" t="s">
        <v>122</v>
      </c>
      <c r="D636" s="171" t="s">
        <v>4</v>
      </c>
      <c r="E636" s="11">
        <v>41183</v>
      </c>
      <c r="H636" t="e">
        <v>#DIV/0!</v>
      </c>
      <c r="K636" t="e">
        <v>#DIV/0!</v>
      </c>
      <c r="M636" t="e">
        <v>#DIV/0!</v>
      </c>
      <c r="R636" t="e">
        <v>#DIV/0!</v>
      </c>
    </row>
    <row r="637" spans="1:20" x14ac:dyDescent="0.3">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x14ac:dyDescent="0.3">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x14ac:dyDescent="0.3">
      <c r="A639" t="s">
        <v>1297</v>
      </c>
      <c r="B639" s="171" t="s">
        <v>1298</v>
      </c>
      <c r="C639" s="171" t="s">
        <v>131</v>
      </c>
      <c r="D639" s="171" t="s">
        <v>80</v>
      </c>
      <c r="E639" s="11">
        <v>41183</v>
      </c>
      <c r="F639">
        <v>6</v>
      </c>
      <c r="G639">
        <v>4</v>
      </c>
      <c r="H639">
        <v>1.5</v>
      </c>
      <c r="K639" t="e">
        <v>#DIV/0!</v>
      </c>
      <c r="L639">
        <v>27.5</v>
      </c>
      <c r="M639">
        <v>0</v>
      </c>
      <c r="R639" t="e">
        <v>#DIV/0!</v>
      </c>
    </row>
    <row r="640" spans="1:20" x14ac:dyDescent="0.3">
      <c r="A640" t="s">
        <v>1299</v>
      </c>
      <c r="B640" s="171" t="s">
        <v>1300</v>
      </c>
      <c r="C640" s="171" t="s">
        <v>134</v>
      </c>
      <c r="D640" s="171" t="s">
        <v>80</v>
      </c>
      <c r="E640" s="11">
        <v>41183</v>
      </c>
      <c r="H640" t="e">
        <v>#DIV/0!</v>
      </c>
      <c r="K640" t="e">
        <v>#DIV/0!</v>
      </c>
      <c r="M640" t="e">
        <v>#DIV/0!</v>
      </c>
      <c r="R640" t="e">
        <v>#DIV/0!</v>
      </c>
    </row>
    <row r="641" spans="1:20" x14ac:dyDescent="0.3">
      <c r="A641" t="s">
        <v>1301</v>
      </c>
      <c r="B641" s="171" t="s">
        <v>1302</v>
      </c>
      <c r="C641" s="171" t="s">
        <v>137</v>
      </c>
      <c r="D641" s="171" t="s">
        <v>4</v>
      </c>
      <c r="E641" s="11">
        <v>41183</v>
      </c>
      <c r="H641" t="e">
        <v>#DIV/0!</v>
      </c>
      <c r="K641" t="e">
        <v>#DIV/0!</v>
      </c>
      <c r="M641" t="e">
        <v>#DIV/0!</v>
      </c>
      <c r="R641" t="e">
        <v>#DIV/0!</v>
      </c>
    </row>
    <row r="642" spans="1:20" x14ac:dyDescent="0.3">
      <c r="A642" t="s">
        <v>1303</v>
      </c>
      <c r="B642" s="171" t="s">
        <v>1304</v>
      </c>
      <c r="C642" s="171" t="s">
        <v>140</v>
      </c>
      <c r="D642" s="171" t="s">
        <v>80</v>
      </c>
      <c r="E642" s="11">
        <v>41183</v>
      </c>
      <c r="H642" t="e">
        <v>#DIV/0!</v>
      </c>
      <c r="K642" t="e">
        <v>#DIV/0!</v>
      </c>
      <c r="M642" t="e">
        <v>#DIV/0!</v>
      </c>
      <c r="R642" t="e">
        <v>#DIV/0!</v>
      </c>
    </row>
    <row r="643" spans="1:20" x14ac:dyDescent="0.3">
      <c r="A643" t="s">
        <v>1305</v>
      </c>
      <c r="B643" s="171" t="s">
        <v>1306</v>
      </c>
      <c r="C643" s="171" t="s">
        <v>143</v>
      </c>
      <c r="D643" s="171" t="s">
        <v>80</v>
      </c>
      <c r="E643" s="11">
        <v>41183</v>
      </c>
      <c r="H643" t="e">
        <v>#DIV/0!</v>
      </c>
      <c r="K643" t="e">
        <v>#DIV/0!</v>
      </c>
      <c r="M643" t="e">
        <v>#DIV/0!</v>
      </c>
      <c r="R643" t="e">
        <v>#DIV/0!</v>
      </c>
    </row>
    <row r="644" spans="1:20" x14ac:dyDescent="0.3">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1309</v>
      </c>
      <c r="B645" s="171" t="s">
        <v>1310</v>
      </c>
      <c r="C645" s="171" t="s">
        <v>149</v>
      </c>
      <c r="D645" s="171" t="s">
        <v>80</v>
      </c>
      <c r="E645" s="11">
        <v>41183</v>
      </c>
      <c r="H645" t="e">
        <v>#DIV/0!</v>
      </c>
      <c r="K645" t="e">
        <v>#DIV/0!</v>
      </c>
      <c r="M645" t="e">
        <v>#DIV/0!</v>
      </c>
      <c r="R645" t="e">
        <v>#DIV/0!</v>
      </c>
      <c r="T645">
        <v>1</v>
      </c>
    </row>
    <row r="646" spans="1:20" x14ac:dyDescent="0.3">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x14ac:dyDescent="0.3">
      <c r="A647" t="s">
        <v>1313</v>
      </c>
      <c r="B647" s="171" t="s">
        <v>1314</v>
      </c>
      <c r="C647" s="171" t="s">
        <v>155</v>
      </c>
      <c r="D647" s="171" t="s">
        <v>80</v>
      </c>
      <c r="E647" s="11">
        <v>41183</v>
      </c>
      <c r="F647">
        <v>3</v>
      </c>
      <c r="G647">
        <v>3</v>
      </c>
      <c r="H647">
        <v>1</v>
      </c>
      <c r="J647">
        <v>17</v>
      </c>
      <c r="K647">
        <v>0</v>
      </c>
      <c r="L647">
        <v>27</v>
      </c>
      <c r="M647">
        <v>0.62962962962962965</v>
      </c>
      <c r="R647" t="e">
        <v>#DIV/0!</v>
      </c>
    </row>
    <row r="648" spans="1:20" x14ac:dyDescent="0.3">
      <c r="A648" t="s">
        <v>1315</v>
      </c>
      <c r="B648" s="171" t="s">
        <v>1316</v>
      </c>
      <c r="C648" s="171" t="s">
        <v>158</v>
      </c>
      <c r="D648" s="171" t="s">
        <v>80</v>
      </c>
      <c r="E648" s="11">
        <v>41183</v>
      </c>
      <c r="H648" t="e">
        <v>#DIV/0!</v>
      </c>
      <c r="K648" t="e">
        <v>#DIV/0!</v>
      </c>
      <c r="M648" t="e">
        <v>#DIV/0!</v>
      </c>
      <c r="R648" t="e">
        <v>#DIV/0!</v>
      </c>
    </row>
    <row r="649" spans="1:20" x14ac:dyDescent="0.3">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x14ac:dyDescent="0.3">
      <c r="A650" t="s">
        <v>1319</v>
      </c>
      <c r="B650" s="171" t="s">
        <v>1320</v>
      </c>
      <c r="C650" s="171" t="s">
        <v>164</v>
      </c>
      <c r="D650" s="171" t="s">
        <v>80</v>
      </c>
      <c r="E650" s="11">
        <v>41183</v>
      </c>
      <c r="F650">
        <v>1.5</v>
      </c>
      <c r="G650">
        <v>1.5</v>
      </c>
      <c r="H650">
        <v>1</v>
      </c>
      <c r="I650">
        <v>2</v>
      </c>
      <c r="K650" t="e">
        <v>#DIV/0!</v>
      </c>
      <c r="L650">
        <v>14.5</v>
      </c>
      <c r="M650">
        <v>0</v>
      </c>
      <c r="R650" t="e">
        <v>#DIV/0!</v>
      </c>
    </row>
    <row r="651" spans="1:20" x14ac:dyDescent="0.3">
      <c r="A651" t="s">
        <v>1321</v>
      </c>
      <c r="B651" s="171" t="s">
        <v>1322</v>
      </c>
      <c r="C651" s="171" t="s">
        <v>167</v>
      </c>
      <c r="D651" s="171" t="s">
        <v>4</v>
      </c>
      <c r="E651" s="11">
        <v>41183</v>
      </c>
      <c r="H651" t="e">
        <v>#DIV/0!</v>
      </c>
      <c r="K651" t="e">
        <v>#DIV/0!</v>
      </c>
      <c r="M651" t="e">
        <v>#DIV/0!</v>
      </c>
      <c r="R651" t="e">
        <v>#DIV/0!</v>
      </c>
    </row>
    <row r="652" spans="1:20" x14ac:dyDescent="0.3">
      <c r="A652" t="s">
        <v>1323</v>
      </c>
      <c r="B652" s="171" t="s">
        <v>1324</v>
      </c>
      <c r="C652" s="171" t="s">
        <v>170</v>
      </c>
      <c r="D652" s="171" t="s">
        <v>80</v>
      </c>
      <c r="E652" s="11">
        <v>41183</v>
      </c>
      <c r="H652" t="e">
        <v>#DIV/0!</v>
      </c>
      <c r="K652" t="e">
        <v>#DIV/0!</v>
      </c>
      <c r="M652" t="e">
        <v>#DIV/0!</v>
      </c>
      <c r="R652" t="e">
        <v>#DIV/0!</v>
      </c>
    </row>
    <row r="653" spans="1:20" x14ac:dyDescent="0.3">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x14ac:dyDescent="0.3">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x14ac:dyDescent="0.3">
      <c r="A655" t="s">
        <v>1329</v>
      </c>
      <c r="B655" s="171" t="s">
        <v>1330</v>
      </c>
      <c r="C655" s="171" t="s">
        <v>179</v>
      </c>
      <c r="D655" s="171" t="s">
        <v>4</v>
      </c>
      <c r="E655" s="11">
        <v>41183</v>
      </c>
      <c r="H655" t="e">
        <v>#DIV/0!</v>
      </c>
      <c r="K655" t="e">
        <v>#DIV/0!</v>
      </c>
      <c r="M655" t="e">
        <v>#DIV/0!</v>
      </c>
      <c r="R655" t="e">
        <v>#DIV/0!</v>
      </c>
    </row>
    <row r="656" spans="1:20" x14ac:dyDescent="0.3">
      <c r="A656" t="s">
        <v>1331</v>
      </c>
      <c r="B656" s="171" t="s">
        <v>1332</v>
      </c>
      <c r="C656" s="171" t="s">
        <v>182</v>
      </c>
      <c r="D656" s="171" t="s">
        <v>80</v>
      </c>
      <c r="E656" s="11">
        <v>41183</v>
      </c>
      <c r="H656" t="e">
        <v>#DIV/0!</v>
      </c>
      <c r="K656" t="e">
        <v>#DIV/0!</v>
      </c>
      <c r="M656" t="e">
        <v>#DIV/0!</v>
      </c>
      <c r="R656" t="e">
        <v>#DIV/0!</v>
      </c>
    </row>
    <row r="657" spans="1:20" x14ac:dyDescent="0.3">
      <c r="A657" t="s">
        <v>1333</v>
      </c>
      <c r="B657" s="171" t="s">
        <v>1334</v>
      </c>
      <c r="C657" s="171" t="s">
        <v>185</v>
      </c>
      <c r="D657" s="171" t="s">
        <v>4</v>
      </c>
      <c r="E657" s="11">
        <v>41183</v>
      </c>
      <c r="F657">
        <v>3</v>
      </c>
      <c r="G657">
        <v>3</v>
      </c>
      <c r="H657">
        <v>1</v>
      </c>
      <c r="K657" t="e">
        <v>#DIV/0!</v>
      </c>
      <c r="M657" t="e">
        <v>#DIV/0!</v>
      </c>
      <c r="R657" t="e">
        <v>#DIV/0!</v>
      </c>
    </row>
    <row r="658" spans="1:20" x14ac:dyDescent="0.3">
      <c r="A658" t="s">
        <v>1335</v>
      </c>
      <c r="B658" s="171" t="s">
        <v>1336</v>
      </c>
      <c r="C658" s="171" t="s">
        <v>188</v>
      </c>
      <c r="D658" s="171" t="s">
        <v>80</v>
      </c>
      <c r="E658" s="11">
        <v>41183</v>
      </c>
      <c r="F658">
        <v>3</v>
      </c>
      <c r="G658">
        <v>3</v>
      </c>
      <c r="H658">
        <v>1</v>
      </c>
      <c r="K658" t="e">
        <v>#DIV/0!</v>
      </c>
      <c r="M658" t="e">
        <v>#DIV/0!</v>
      </c>
      <c r="R658" t="e">
        <v>#DIV/0!</v>
      </c>
    </row>
    <row r="659" spans="1:20" x14ac:dyDescent="0.3">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x14ac:dyDescent="0.3">
      <c r="A661" t="s">
        <v>1341</v>
      </c>
      <c r="B661" s="171" t="s">
        <v>1342</v>
      </c>
      <c r="C661" s="171" t="s">
        <v>197</v>
      </c>
      <c r="D661" s="171" t="s">
        <v>80</v>
      </c>
      <c r="E661" s="11">
        <v>41183</v>
      </c>
      <c r="H661" t="e">
        <v>#DIV/0!</v>
      </c>
      <c r="K661" t="e">
        <v>#DIV/0!</v>
      </c>
      <c r="M661" t="e">
        <v>#DIV/0!</v>
      </c>
      <c r="R661" t="e">
        <v>#DIV/0!</v>
      </c>
      <c r="T661">
        <v>1</v>
      </c>
    </row>
    <row r="662" spans="1:20" x14ac:dyDescent="0.3">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x14ac:dyDescent="0.3">
      <c r="A663" t="s">
        <v>1345</v>
      </c>
      <c r="B663" s="171" t="s">
        <v>1346</v>
      </c>
      <c r="C663" s="171" t="s">
        <v>203</v>
      </c>
      <c r="D663" s="171" t="s">
        <v>80</v>
      </c>
      <c r="E663" s="11">
        <v>41183</v>
      </c>
      <c r="H663" t="e">
        <v>#DIV/0!</v>
      </c>
      <c r="K663" t="e">
        <v>#DIV/0!</v>
      </c>
      <c r="M663" t="e">
        <v>#DIV/0!</v>
      </c>
      <c r="R663" t="e">
        <v>#DIV/0!</v>
      </c>
    </row>
    <row r="664" spans="1:20" x14ac:dyDescent="0.3">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x14ac:dyDescent="0.3">
      <c r="A665" t="s">
        <v>1349</v>
      </c>
      <c r="B665" s="171" t="s">
        <v>1350</v>
      </c>
      <c r="C665" s="171" t="s">
        <v>209</v>
      </c>
      <c r="D665" s="171" t="s">
        <v>80</v>
      </c>
      <c r="E665" s="11">
        <v>41183</v>
      </c>
      <c r="H665" t="e">
        <v>#DIV/0!</v>
      </c>
      <c r="K665" t="e">
        <v>#DIV/0!</v>
      </c>
      <c r="M665" t="e">
        <v>#DIV/0!</v>
      </c>
      <c r="R665" t="e">
        <v>#DIV/0!</v>
      </c>
      <c r="T665" t="e">
        <v>#DIV/0!</v>
      </c>
    </row>
    <row r="666" spans="1:20" x14ac:dyDescent="0.3">
      <c r="A666" t="s">
        <v>1351</v>
      </c>
      <c r="B666" s="171" t="s">
        <v>1352</v>
      </c>
      <c r="C666" s="171" t="s">
        <v>212</v>
      </c>
      <c r="D666" s="171" t="s">
        <v>4</v>
      </c>
      <c r="E666" s="11">
        <v>41183</v>
      </c>
      <c r="H666" t="e">
        <v>#DIV/0!</v>
      </c>
      <c r="K666" t="e">
        <v>#DIV/0!</v>
      </c>
      <c r="M666" t="e">
        <v>#DIV/0!</v>
      </c>
      <c r="R666" t="e">
        <v>#DIV/0!</v>
      </c>
      <c r="T666">
        <v>0.97500000000000009</v>
      </c>
    </row>
    <row r="667" spans="1:20" x14ac:dyDescent="0.3">
      <c r="A667" t="s">
        <v>1353</v>
      </c>
      <c r="B667" s="171" t="s">
        <v>1354</v>
      </c>
      <c r="C667" s="171" t="s">
        <v>215</v>
      </c>
      <c r="D667" s="171" t="s">
        <v>4</v>
      </c>
      <c r="E667" s="11">
        <v>41183</v>
      </c>
      <c r="H667" t="e">
        <v>#DIV/0!</v>
      </c>
      <c r="K667" t="e">
        <v>#DIV/0!</v>
      </c>
      <c r="M667" t="e">
        <v>#DIV/0!</v>
      </c>
      <c r="R667" t="e">
        <v>#DIV/0!</v>
      </c>
      <c r="T667">
        <v>0.75</v>
      </c>
    </row>
    <row r="668" spans="1:20" x14ac:dyDescent="0.3">
      <c r="A668" t="s">
        <v>1355</v>
      </c>
      <c r="B668" s="171" t="s">
        <v>1356</v>
      </c>
      <c r="C668" s="171" t="s">
        <v>218</v>
      </c>
      <c r="D668" s="171" t="s">
        <v>80</v>
      </c>
      <c r="E668" s="11">
        <v>41183</v>
      </c>
      <c r="H668" t="e">
        <v>#DIV/0!</v>
      </c>
      <c r="K668" t="e">
        <v>#DIV/0!</v>
      </c>
      <c r="M668" t="e">
        <v>#DIV/0!</v>
      </c>
      <c r="R668" t="e">
        <v>#DIV/0!</v>
      </c>
      <c r="T668">
        <v>1</v>
      </c>
    </row>
    <row r="669" spans="1:20" x14ac:dyDescent="0.3">
      <c r="A669" t="s">
        <v>1357</v>
      </c>
      <c r="B669" s="171" t="s">
        <v>1358</v>
      </c>
      <c r="C669" s="171" t="s">
        <v>221</v>
      </c>
      <c r="D669" s="171" t="s">
        <v>4</v>
      </c>
      <c r="E669" s="11">
        <v>41183</v>
      </c>
      <c r="F669">
        <v>1</v>
      </c>
      <c r="G669">
        <v>1</v>
      </c>
      <c r="H669">
        <v>1</v>
      </c>
      <c r="I669">
        <v>0</v>
      </c>
      <c r="L669">
        <v>0</v>
      </c>
      <c r="M669" t="e">
        <v>#DIV/0!</v>
      </c>
      <c r="R669" t="e">
        <v>#DIV/0!</v>
      </c>
      <c r="T669">
        <v>0</v>
      </c>
    </row>
    <row r="670" spans="1:20" x14ac:dyDescent="0.3">
      <c r="A670" t="s">
        <v>1359</v>
      </c>
      <c r="B670" s="171" t="s">
        <v>1360</v>
      </c>
      <c r="C670" s="171" t="s">
        <v>224</v>
      </c>
      <c r="D670" s="171" t="s">
        <v>80</v>
      </c>
      <c r="E670" s="11">
        <v>41183</v>
      </c>
      <c r="H670" t="e">
        <v>#DIV/0!</v>
      </c>
      <c r="K670" t="e">
        <v>#DIV/0!</v>
      </c>
      <c r="M670" t="e">
        <v>#DIV/0!</v>
      </c>
      <c r="R670" t="e">
        <v>#DIV/0!</v>
      </c>
      <c r="T670">
        <v>0</v>
      </c>
    </row>
    <row r="671" spans="1:20" x14ac:dyDescent="0.3">
      <c r="A671" t="s">
        <v>1361</v>
      </c>
      <c r="B671" s="171" t="s">
        <v>1362</v>
      </c>
      <c r="C671" s="171" t="s">
        <v>227</v>
      </c>
      <c r="D671" s="171" t="s">
        <v>80</v>
      </c>
      <c r="E671" s="11">
        <v>41183</v>
      </c>
      <c r="F671">
        <v>1</v>
      </c>
      <c r="G671">
        <v>1</v>
      </c>
      <c r="H671">
        <v>1</v>
      </c>
      <c r="K671" t="e">
        <v>#DIV/0!</v>
      </c>
      <c r="M671" t="e">
        <v>#DIV/0!</v>
      </c>
      <c r="R671" t="e">
        <v>#DIV/0!</v>
      </c>
      <c r="T671">
        <v>0</v>
      </c>
    </row>
    <row r="672" spans="1:20" x14ac:dyDescent="0.3">
      <c r="A672" t="s">
        <v>1363</v>
      </c>
      <c r="B672" s="171" t="s">
        <v>1364</v>
      </c>
      <c r="C672" s="171" t="s">
        <v>230</v>
      </c>
      <c r="D672" s="171" t="s">
        <v>80</v>
      </c>
      <c r="E672" s="11">
        <v>41183</v>
      </c>
      <c r="H672" t="e">
        <v>#DIV/0!</v>
      </c>
      <c r="K672" t="e">
        <v>#DIV/0!</v>
      </c>
      <c r="M672" t="e">
        <v>#DIV/0!</v>
      </c>
      <c r="R672" t="e">
        <v>#DIV/0!</v>
      </c>
      <c r="T672">
        <v>1.0166666666666666</v>
      </c>
    </row>
    <row r="673" spans="1:20" x14ac:dyDescent="0.3">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x14ac:dyDescent="0.3">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x14ac:dyDescent="0.3">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x14ac:dyDescent="0.3">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x14ac:dyDescent="0.3">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x14ac:dyDescent="0.3">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x14ac:dyDescent="0.3">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x14ac:dyDescent="0.3">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x14ac:dyDescent="0.3">
      <c r="A684" t="s">
        <v>1387</v>
      </c>
      <c r="B684" s="171" t="s">
        <v>1388</v>
      </c>
      <c r="C684" s="171" t="s">
        <v>110</v>
      </c>
      <c r="D684" s="171" t="s">
        <v>4</v>
      </c>
      <c r="E684" s="11">
        <v>41183</v>
      </c>
      <c r="H684" t="e">
        <v>#DIV/0!</v>
      </c>
      <c r="I684">
        <v>4</v>
      </c>
      <c r="L684">
        <v>0</v>
      </c>
      <c r="M684" t="e">
        <v>#DIV/0!</v>
      </c>
      <c r="R684" t="e">
        <v>#DIV/0!</v>
      </c>
    </row>
    <row r="685" spans="1:20" x14ac:dyDescent="0.3">
      <c r="A685" t="s">
        <v>1389</v>
      </c>
      <c r="B685" s="171" t="s">
        <v>1390</v>
      </c>
      <c r="C685" s="171" t="s">
        <v>113</v>
      </c>
      <c r="D685" s="171" t="s">
        <v>4</v>
      </c>
      <c r="E685" s="11">
        <v>41183</v>
      </c>
      <c r="F685">
        <v>6</v>
      </c>
      <c r="G685">
        <v>4</v>
      </c>
      <c r="H685">
        <v>1.5</v>
      </c>
      <c r="K685" t="e">
        <v>#DIV/0!</v>
      </c>
      <c r="L685">
        <v>20</v>
      </c>
      <c r="M685">
        <v>0</v>
      </c>
      <c r="R685" t="e">
        <v>#DIV/0!</v>
      </c>
    </row>
    <row r="686" spans="1:20" x14ac:dyDescent="0.3">
      <c r="A686" t="s">
        <v>1391</v>
      </c>
      <c r="B686" s="171" t="s">
        <v>1392</v>
      </c>
      <c r="C686" s="171" t="s">
        <v>116</v>
      </c>
      <c r="D686" s="171" t="s">
        <v>4</v>
      </c>
      <c r="E686" s="11">
        <v>41183</v>
      </c>
      <c r="H686" t="e">
        <v>#DIV/0!</v>
      </c>
      <c r="M686" t="e">
        <v>#DIV/0!</v>
      </c>
      <c r="R686" t="e">
        <v>#DIV/0!</v>
      </c>
      <c r="T686">
        <v>0.74285714285714288</v>
      </c>
    </row>
    <row r="687" spans="1:20" x14ac:dyDescent="0.3">
      <c r="A687" t="s">
        <v>1393</v>
      </c>
      <c r="B687" s="171" t="s">
        <v>1394</v>
      </c>
      <c r="C687" s="171" t="s">
        <v>119</v>
      </c>
      <c r="D687" s="171" t="s">
        <v>4</v>
      </c>
      <c r="E687" s="11">
        <v>41183</v>
      </c>
      <c r="H687" t="e">
        <v>#DIV/0!</v>
      </c>
      <c r="K687" t="e">
        <v>#DIV/0!</v>
      </c>
      <c r="M687" t="e">
        <v>#DIV/0!</v>
      </c>
      <c r="R687" t="e">
        <v>#DIV/0!</v>
      </c>
    </row>
    <row r="688" spans="1:20" x14ac:dyDescent="0.3">
      <c r="A688" t="s">
        <v>1395</v>
      </c>
      <c r="B688" s="171" t="s">
        <v>1396</v>
      </c>
      <c r="C688" s="171" t="s">
        <v>122</v>
      </c>
      <c r="D688" s="171" t="s">
        <v>80</v>
      </c>
      <c r="E688" s="11">
        <v>41183</v>
      </c>
      <c r="H688" t="e">
        <v>#DIV/0!</v>
      </c>
      <c r="K688" t="e">
        <v>#DIV/0!</v>
      </c>
      <c r="M688" t="e">
        <v>#DIV/0!</v>
      </c>
      <c r="R688" t="e">
        <v>#DIV/0!</v>
      </c>
      <c r="T688">
        <v>0.97500000000000009</v>
      </c>
    </row>
    <row r="689" spans="1:20" x14ac:dyDescent="0.3">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x14ac:dyDescent="0.3">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x14ac:dyDescent="0.3">
      <c r="A691" t="s">
        <v>1401</v>
      </c>
      <c r="B691" s="171" t="s">
        <v>1402</v>
      </c>
      <c r="C691" s="171" t="s">
        <v>131</v>
      </c>
      <c r="D691" s="171" t="s">
        <v>4</v>
      </c>
      <c r="E691" s="11">
        <v>41183</v>
      </c>
      <c r="F691">
        <v>6</v>
      </c>
      <c r="G691">
        <v>4</v>
      </c>
      <c r="H691">
        <v>1.5</v>
      </c>
      <c r="K691" t="e">
        <v>#DIV/0!</v>
      </c>
      <c r="L691">
        <v>27.5</v>
      </c>
      <c r="M691">
        <v>0</v>
      </c>
      <c r="R691" t="e">
        <v>#DIV/0!</v>
      </c>
    </row>
    <row r="692" spans="1:20" x14ac:dyDescent="0.3">
      <c r="A692" t="s">
        <v>1403</v>
      </c>
      <c r="B692" s="171" t="s">
        <v>1404</v>
      </c>
      <c r="C692" s="171" t="s">
        <v>134</v>
      </c>
      <c r="D692" s="171" t="s">
        <v>4</v>
      </c>
      <c r="E692" s="11">
        <v>41183</v>
      </c>
      <c r="H692" t="e">
        <v>#DIV/0!</v>
      </c>
      <c r="K692" t="e">
        <v>#DIV/0!</v>
      </c>
      <c r="M692" t="e">
        <v>#DIV/0!</v>
      </c>
      <c r="R692" t="e">
        <v>#DIV/0!</v>
      </c>
    </row>
    <row r="693" spans="1:20" x14ac:dyDescent="0.3">
      <c r="A693" t="s">
        <v>1405</v>
      </c>
      <c r="B693" s="171" t="s">
        <v>1406</v>
      </c>
      <c r="C693" s="171" t="s">
        <v>137</v>
      </c>
      <c r="D693" s="171" t="s">
        <v>80</v>
      </c>
      <c r="E693" s="11">
        <v>41183</v>
      </c>
      <c r="H693" t="e">
        <v>#DIV/0!</v>
      </c>
      <c r="K693" t="e">
        <v>#DIV/0!</v>
      </c>
      <c r="M693" t="e">
        <v>#DIV/0!</v>
      </c>
      <c r="R693" t="e">
        <v>#DIV/0!</v>
      </c>
    </row>
    <row r="694" spans="1:20" x14ac:dyDescent="0.3">
      <c r="A694" t="s">
        <v>1407</v>
      </c>
      <c r="B694" s="171" t="s">
        <v>1408</v>
      </c>
      <c r="C694" s="171" t="s">
        <v>140</v>
      </c>
      <c r="D694" s="171" t="s">
        <v>4</v>
      </c>
      <c r="E694" s="11">
        <v>41183</v>
      </c>
      <c r="H694" t="e">
        <v>#DIV/0!</v>
      </c>
      <c r="K694" t="e">
        <v>#DIV/0!</v>
      </c>
      <c r="M694" t="e">
        <v>#DIV/0!</v>
      </c>
      <c r="R694" t="e">
        <v>#DIV/0!</v>
      </c>
    </row>
    <row r="695" spans="1:20" x14ac:dyDescent="0.3">
      <c r="A695" t="s">
        <v>1409</v>
      </c>
      <c r="B695" s="171" t="s">
        <v>1410</v>
      </c>
      <c r="C695" s="171" t="s">
        <v>167</v>
      </c>
      <c r="D695" s="171" t="s">
        <v>80</v>
      </c>
      <c r="E695" s="11">
        <v>41183</v>
      </c>
      <c r="H695" t="e">
        <v>#DIV/0!</v>
      </c>
      <c r="K695" t="e">
        <v>#DIV/0!</v>
      </c>
      <c r="M695" t="e">
        <v>#DIV/0!</v>
      </c>
      <c r="R695" t="e">
        <v>#DIV/0!</v>
      </c>
    </row>
    <row r="696" spans="1:20" x14ac:dyDescent="0.3">
      <c r="A696" t="s">
        <v>1411</v>
      </c>
      <c r="B696" s="171" t="s">
        <v>1412</v>
      </c>
      <c r="C696" s="171" t="s">
        <v>170</v>
      </c>
      <c r="D696" s="171" t="s">
        <v>4</v>
      </c>
      <c r="E696" s="11">
        <v>41183</v>
      </c>
      <c r="H696" t="e">
        <v>#DIV/0!</v>
      </c>
      <c r="K696" t="e">
        <v>#DIV/0!</v>
      </c>
      <c r="M696" t="e">
        <v>#DIV/0!</v>
      </c>
      <c r="R696" t="e">
        <v>#DIV/0!</v>
      </c>
    </row>
    <row r="697" spans="1:20" x14ac:dyDescent="0.3">
      <c r="A697" t="s">
        <v>1413</v>
      </c>
      <c r="B697" s="171" t="s">
        <v>1414</v>
      </c>
      <c r="C697" s="171" t="s">
        <v>179</v>
      </c>
      <c r="D697" s="171" t="s">
        <v>80</v>
      </c>
      <c r="E697" s="11">
        <v>41183</v>
      </c>
      <c r="H697" t="e">
        <v>#DIV/0!</v>
      </c>
      <c r="K697" t="e">
        <v>#DIV/0!</v>
      </c>
      <c r="M697" t="e">
        <v>#DIV/0!</v>
      </c>
      <c r="R697" t="e">
        <v>#DIV/0!</v>
      </c>
    </row>
    <row r="698" spans="1:20" x14ac:dyDescent="0.3">
      <c r="A698" t="s">
        <v>1415</v>
      </c>
      <c r="B698" s="171" t="s">
        <v>1416</v>
      </c>
      <c r="C698" s="171" t="s">
        <v>182</v>
      </c>
      <c r="D698" s="171" t="s">
        <v>4</v>
      </c>
      <c r="E698" s="11">
        <v>41183</v>
      </c>
      <c r="H698" t="e">
        <v>#DIV/0!</v>
      </c>
      <c r="K698" t="e">
        <v>#DIV/0!</v>
      </c>
      <c r="M698" t="e">
        <v>#DIV/0!</v>
      </c>
      <c r="R698" t="e">
        <v>#DIV/0!</v>
      </c>
    </row>
    <row r="699" spans="1:20" x14ac:dyDescent="0.3">
      <c r="A699" t="s">
        <v>1417</v>
      </c>
      <c r="B699" s="171" t="s">
        <v>1418</v>
      </c>
      <c r="C699" s="171" t="s">
        <v>185</v>
      </c>
      <c r="D699" s="171" t="s">
        <v>80</v>
      </c>
      <c r="E699" s="11">
        <v>41183</v>
      </c>
      <c r="F699">
        <v>3</v>
      </c>
      <c r="G699">
        <v>3</v>
      </c>
      <c r="H699">
        <v>1</v>
      </c>
      <c r="K699" t="e">
        <v>#DIV/0!</v>
      </c>
      <c r="M699" t="e">
        <v>#DIV/0!</v>
      </c>
      <c r="R699" t="e">
        <v>#DIV/0!</v>
      </c>
    </row>
    <row r="700" spans="1:20" x14ac:dyDescent="0.3">
      <c r="A700" t="s">
        <v>1419</v>
      </c>
      <c r="B700" s="171" t="s">
        <v>1420</v>
      </c>
      <c r="C700" s="171" t="s">
        <v>188</v>
      </c>
      <c r="D700" s="171" t="s">
        <v>4</v>
      </c>
      <c r="E700" s="11">
        <v>41183</v>
      </c>
      <c r="F700">
        <v>3</v>
      </c>
      <c r="G700">
        <v>3</v>
      </c>
      <c r="H700">
        <v>1</v>
      </c>
      <c r="K700" t="e">
        <v>#DIV/0!</v>
      </c>
      <c r="M700" t="e">
        <v>#DIV/0!</v>
      </c>
      <c r="R700" t="e">
        <v>#DIV/0!</v>
      </c>
    </row>
    <row r="701" spans="1:20" x14ac:dyDescent="0.3">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1425</v>
      </c>
      <c r="B703" s="171" t="s">
        <v>1426</v>
      </c>
      <c r="C703" s="171" t="s">
        <v>197</v>
      </c>
      <c r="D703" s="171" t="s">
        <v>4</v>
      </c>
      <c r="E703" s="11">
        <v>41183</v>
      </c>
      <c r="H703" t="e">
        <v>#DIV/0!</v>
      </c>
      <c r="K703" t="e">
        <v>#DIV/0!</v>
      </c>
      <c r="M703" t="e">
        <v>#DIV/0!</v>
      </c>
      <c r="R703" t="e">
        <v>#DIV/0!</v>
      </c>
    </row>
    <row r="704" spans="1:20" x14ac:dyDescent="0.3">
      <c r="A704" t="s">
        <v>1427</v>
      </c>
      <c r="B704" s="171" t="s">
        <v>1428</v>
      </c>
      <c r="C704" s="171" t="s">
        <v>209</v>
      </c>
      <c r="D704" s="171" t="s">
        <v>4</v>
      </c>
      <c r="E704" s="11">
        <v>41183</v>
      </c>
      <c r="H704" t="e">
        <v>#DIV/0!</v>
      </c>
      <c r="K704" t="e">
        <v>#DIV/0!</v>
      </c>
      <c r="M704" t="e">
        <v>#DIV/0!</v>
      </c>
      <c r="R704" t="e">
        <v>#DIV/0!</v>
      </c>
    </row>
    <row r="705" spans="1:20" x14ac:dyDescent="0.3">
      <c r="A705" t="s">
        <v>1429</v>
      </c>
      <c r="B705" s="171" t="s">
        <v>1430</v>
      </c>
      <c r="C705" s="171" t="s">
        <v>212</v>
      </c>
      <c r="D705" s="171" t="s">
        <v>80</v>
      </c>
      <c r="E705" s="11">
        <v>41183</v>
      </c>
      <c r="H705" t="e">
        <v>#DIV/0!</v>
      </c>
      <c r="K705" t="e">
        <v>#DIV/0!</v>
      </c>
      <c r="M705" t="e">
        <v>#DIV/0!</v>
      </c>
      <c r="R705" t="e">
        <v>#DIV/0!</v>
      </c>
    </row>
    <row r="706" spans="1:20" x14ac:dyDescent="0.3">
      <c r="A706" t="s">
        <v>1431</v>
      </c>
      <c r="B706" s="171" t="s">
        <v>1432</v>
      </c>
      <c r="C706" s="171" t="s">
        <v>215</v>
      </c>
      <c r="D706" s="171" t="s">
        <v>80</v>
      </c>
      <c r="E706" s="11">
        <v>41183</v>
      </c>
      <c r="H706" t="e">
        <v>#DIV/0!</v>
      </c>
      <c r="K706" t="e">
        <v>#DIV/0!</v>
      </c>
      <c r="M706" t="e">
        <v>#DIV/0!</v>
      </c>
      <c r="R706" t="e">
        <v>#DIV/0!</v>
      </c>
    </row>
    <row r="707" spans="1:20" x14ac:dyDescent="0.3">
      <c r="A707" t="s">
        <v>1433</v>
      </c>
      <c r="B707" s="171" t="s">
        <v>1434</v>
      </c>
      <c r="C707" s="171" t="s">
        <v>218</v>
      </c>
      <c r="D707" s="171" t="s">
        <v>4</v>
      </c>
      <c r="E707" s="11">
        <v>41183</v>
      </c>
      <c r="H707" t="e">
        <v>#DIV/0!</v>
      </c>
      <c r="K707" t="e">
        <v>#DIV/0!</v>
      </c>
      <c r="M707" t="e">
        <v>#DIV/0!</v>
      </c>
      <c r="R707" t="e">
        <v>#DIV/0!</v>
      </c>
    </row>
    <row r="708" spans="1:20" x14ac:dyDescent="0.3">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x14ac:dyDescent="0.3">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x14ac:dyDescent="0.3">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x14ac:dyDescent="0.3">
      <c r="A711" t="s">
        <v>1441</v>
      </c>
      <c r="B711" s="171" t="s">
        <v>1442</v>
      </c>
      <c r="C711" s="171" t="s">
        <v>143</v>
      </c>
      <c r="D711" s="171" t="s">
        <v>4</v>
      </c>
      <c r="E711" s="11">
        <v>41183</v>
      </c>
      <c r="H711" t="e">
        <v>#DIV/0!</v>
      </c>
      <c r="K711" t="e">
        <v>#DIV/0!</v>
      </c>
      <c r="M711" t="e">
        <v>#DIV/0!</v>
      </c>
      <c r="R711" t="e">
        <v>#DIV/0!</v>
      </c>
    </row>
    <row r="712" spans="1:20" x14ac:dyDescent="0.3">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1445</v>
      </c>
      <c r="B713" s="171" t="s">
        <v>1446</v>
      </c>
      <c r="C713" s="171" t="s">
        <v>149</v>
      </c>
      <c r="D713" s="171" t="s">
        <v>4</v>
      </c>
      <c r="E713" s="11">
        <v>41183</v>
      </c>
      <c r="H713" t="e">
        <v>#DIV/0!</v>
      </c>
      <c r="K713" t="e">
        <v>#DIV/0!</v>
      </c>
      <c r="M713" t="e">
        <v>#DIV/0!</v>
      </c>
      <c r="R713" t="e">
        <v>#DIV/0!</v>
      </c>
    </row>
    <row r="714" spans="1:20" x14ac:dyDescent="0.3">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x14ac:dyDescent="0.3">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x14ac:dyDescent="0.3">
      <c r="A716" t="s">
        <v>1451</v>
      </c>
      <c r="B716" s="171" t="s">
        <v>1452</v>
      </c>
      <c r="C716" s="171" t="s">
        <v>158</v>
      </c>
      <c r="D716" s="171" t="s">
        <v>4</v>
      </c>
      <c r="E716" s="11">
        <v>41183</v>
      </c>
      <c r="H716" t="e">
        <v>#DIV/0!</v>
      </c>
      <c r="K716" t="e">
        <v>#DIV/0!</v>
      </c>
      <c r="M716" t="e">
        <v>#DIV/0!</v>
      </c>
      <c r="R716" t="e">
        <v>#DIV/0!</v>
      </c>
      <c r="T716">
        <v>0.75</v>
      </c>
    </row>
    <row r="717" spans="1:20" x14ac:dyDescent="0.3">
      <c r="A717" t="s">
        <v>1453</v>
      </c>
      <c r="B717" s="171" t="s">
        <v>1454</v>
      </c>
      <c r="C717" s="171" t="s">
        <v>164</v>
      </c>
      <c r="D717" s="171" t="s">
        <v>4</v>
      </c>
      <c r="E717" s="11">
        <v>41183</v>
      </c>
      <c r="F717">
        <v>1.5</v>
      </c>
      <c r="G717">
        <v>1.5</v>
      </c>
      <c r="H717">
        <v>1</v>
      </c>
      <c r="I717">
        <v>2</v>
      </c>
      <c r="K717" t="e">
        <v>#DIV/0!</v>
      </c>
      <c r="L717">
        <v>14.5</v>
      </c>
      <c r="M717">
        <v>0</v>
      </c>
      <c r="R717" t="e">
        <v>#DIV/0!</v>
      </c>
      <c r="T717">
        <v>1</v>
      </c>
    </row>
    <row r="718" spans="1:20" x14ac:dyDescent="0.3">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x14ac:dyDescent="0.3">
      <c r="A719" t="s">
        <v>1457</v>
      </c>
      <c r="B719" s="171" t="s">
        <v>1458</v>
      </c>
      <c r="C719" s="171" t="s">
        <v>221</v>
      </c>
      <c r="D719" s="171" t="s">
        <v>80</v>
      </c>
      <c r="E719" s="11">
        <v>41183</v>
      </c>
      <c r="F719">
        <v>1</v>
      </c>
      <c r="G719">
        <v>1</v>
      </c>
      <c r="H719">
        <v>1</v>
      </c>
      <c r="I719">
        <v>0</v>
      </c>
      <c r="L719">
        <v>0</v>
      </c>
      <c r="M719" t="e">
        <v>#DIV/0!</v>
      </c>
      <c r="R719" t="e">
        <v>#DIV/0!</v>
      </c>
    </row>
    <row r="720" spans="1:20" x14ac:dyDescent="0.3">
      <c r="A720" t="s">
        <v>1459</v>
      </c>
      <c r="B720" s="171" t="s">
        <v>1460</v>
      </c>
      <c r="C720" s="171" t="s">
        <v>224</v>
      </c>
      <c r="D720" s="171" t="s">
        <v>4</v>
      </c>
      <c r="E720" s="11">
        <v>41183</v>
      </c>
      <c r="H720" t="e">
        <v>#DIV/0!</v>
      </c>
      <c r="K720" t="e">
        <v>#DIV/0!</v>
      </c>
      <c r="M720" t="e">
        <v>#DIV/0!</v>
      </c>
      <c r="R720" t="e">
        <v>#DIV/0!</v>
      </c>
      <c r="T720">
        <v>0</v>
      </c>
    </row>
    <row r="721" spans="1:20" x14ac:dyDescent="0.3">
      <c r="A721" t="s">
        <v>1461</v>
      </c>
      <c r="B721" s="171" t="s">
        <v>1462</v>
      </c>
      <c r="C721" s="171" t="s">
        <v>227</v>
      </c>
      <c r="D721" s="171" t="s">
        <v>4</v>
      </c>
      <c r="E721" s="11">
        <v>41183</v>
      </c>
      <c r="F721">
        <v>1</v>
      </c>
      <c r="G721">
        <v>1</v>
      </c>
      <c r="H721">
        <v>1</v>
      </c>
      <c r="K721" t="e">
        <v>#DIV/0!</v>
      </c>
      <c r="M721" t="e">
        <v>#DIV/0!</v>
      </c>
      <c r="R721" t="e">
        <v>#DIV/0!</v>
      </c>
      <c r="T721" t="e">
        <v>#DIV/0!</v>
      </c>
    </row>
    <row r="722" spans="1:20" x14ac:dyDescent="0.3">
      <c r="A722" t="s">
        <v>1463</v>
      </c>
      <c r="B722" s="171" t="s">
        <v>1464</v>
      </c>
      <c r="C722" s="171" t="s">
        <v>230</v>
      </c>
      <c r="D722" s="171" t="s">
        <v>4</v>
      </c>
      <c r="E722" s="11">
        <v>41183</v>
      </c>
      <c r="H722" t="e">
        <v>#DIV/0!</v>
      </c>
      <c r="K722" t="e">
        <v>#DIV/0!</v>
      </c>
      <c r="M722" t="e">
        <v>#DIV/0!</v>
      </c>
      <c r="R722" t="e">
        <v>#DIV/0!</v>
      </c>
      <c r="T722">
        <v>0.95</v>
      </c>
    </row>
    <row r="723" spans="1:20" x14ac:dyDescent="0.3">
      <c r="A723" t="s">
        <v>1465</v>
      </c>
      <c r="B723" s="171" t="s">
        <v>1466</v>
      </c>
      <c r="C723" s="171" t="s">
        <v>73</v>
      </c>
      <c r="D723" s="171" t="s">
        <v>4</v>
      </c>
      <c r="E723" s="11">
        <v>41214</v>
      </c>
      <c r="F723">
        <v>4</v>
      </c>
      <c r="G723">
        <v>2.5</v>
      </c>
      <c r="H723">
        <v>1.6</v>
      </c>
      <c r="K723" t="e">
        <v>#DIV/0!</v>
      </c>
      <c r="L723">
        <v>14.5</v>
      </c>
      <c r="M723">
        <v>0</v>
      </c>
      <c r="R723" t="e">
        <v>#DIV/0!</v>
      </c>
      <c r="T723">
        <v>1</v>
      </c>
    </row>
    <row r="724" spans="1:20" x14ac:dyDescent="0.3">
      <c r="A724" t="s">
        <v>1467</v>
      </c>
      <c r="B724" s="171" t="s">
        <v>1468</v>
      </c>
      <c r="C724" s="171" t="s">
        <v>76</v>
      </c>
      <c r="D724" s="171" t="s">
        <v>4</v>
      </c>
      <c r="E724" s="11">
        <v>41214</v>
      </c>
      <c r="F724">
        <v>4</v>
      </c>
      <c r="G724">
        <v>2.5</v>
      </c>
      <c r="H724">
        <v>1.6</v>
      </c>
      <c r="K724" t="e">
        <v>#DIV/0!</v>
      </c>
      <c r="L724">
        <v>14.5</v>
      </c>
      <c r="M724">
        <v>0</v>
      </c>
      <c r="R724" t="e">
        <v>#DIV/0!</v>
      </c>
      <c r="T724">
        <v>0.83</v>
      </c>
    </row>
    <row r="725" spans="1:20" x14ac:dyDescent="0.3">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x14ac:dyDescent="0.3">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x14ac:dyDescent="0.3">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x14ac:dyDescent="0.3">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x14ac:dyDescent="0.3">
      <c r="A735" t="s">
        <v>1489</v>
      </c>
      <c r="B735" s="171" t="s">
        <v>1490</v>
      </c>
      <c r="C735" s="171" t="s">
        <v>110</v>
      </c>
      <c r="D735" s="171" t="s">
        <v>80</v>
      </c>
      <c r="E735" s="11">
        <v>41214</v>
      </c>
      <c r="H735" t="e">
        <v>#DIV/0!</v>
      </c>
      <c r="I735">
        <v>5</v>
      </c>
      <c r="L735">
        <v>0</v>
      </c>
      <c r="M735" t="e">
        <v>#DIV/0!</v>
      </c>
      <c r="P735">
        <v>2</v>
      </c>
      <c r="Q735">
        <v>2</v>
      </c>
      <c r="R735">
        <v>1</v>
      </c>
      <c r="T735">
        <v>0.53333333333333333</v>
      </c>
    </row>
    <row r="736" spans="1:20" x14ac:dyDescent="0.3">
      <c r="A736" t="s">
        <v>1491</v>
      </c>
      <c r="B736" s="171" t="s">
        <v>1492</v>
      </c>
      <c r="C736" s="171" t="s">
        <v>113</v>
      </c>
      <c r="D736" s="171" t="s">
        <v>80</v>
      </c>
      <c r="E736" s="11">
        <v>41214</v>
      </c>
      <c r="F736">
        <v>6</v>
      </c>
      <c r="G736">
        <v>4</v>
      </c>
      <c r="H736">
        <v>1.5</v>
      </c>
      <c r="K736" t="e">
        <v>#DIV/0!</v>
      </c>
      <c r="L736">
        <v>20</v>
      </c>
      <c r="M736">
        <v>0</v>
      </c>
      <c r="R736" t="e">
        <v>#DIV/0!</v>
      </c>
      <c r="T736">
        <v>1</v>
      </c>
    </row>
    <row r="737" spans="1:20" x14ac:dyDescent="0.3">
      <c r="A737" t="s">
        <v>1493</v>
      </c>
      <c r="B737" s="171" t="s">
        <v>1494</v>
      </c>
      <c r="C737" s="171" t="s">
        <v>116</v>
      </c>
      <c r="D737" s="171" t="s">
        <v>80</v>
      </c>
      <c r="E737" s="11">
        <v>41214</v>
      </c>
      <c r="H737" t="e">
        <v>#DIV/0!</v>
      </c>
      <c r="M737" t="e">
        <v>#DIV/0!</v>
      </c>
      <c r="R737" t="e">
        <v>#DIV/0!</v>
      </c>
    </row>
    <row r="738" spans="1:20" x14ac:dyDescent="0.3">
      <c r="A738" t="s">
        <v>1495</v>
      </c>
      <c r="B738" s="171" t="s">
        <v>1496</v>
      </c>
      <c r="C738" s="171" t="s">
        <v>119</v>
      </c>
      <c r="D738" s="171" t="s">
        <v>80</v>
      </c>
      <c r="E738" s="11">
        <v>41214</v>
      </c>
      <c r="H738" t="e">
        <v>#DIV/0!</v>
      </c>
      <c r="K738" t="e">
        <v>#DIV/0!</v>
      </c>
      <c r="M738" t="e">
        <v>#DIV/0!</v>
      </c>
      <c r="R738" t="e">
        <v>#DIV/0!</v>
      </c>
    </row>
    <row r="739" spans="1:20" x14ac:dyDescent="0.3">
      <c r="A739" t="s">
        <v>1497</v>
      </c>
      <c r="B739" s="171" t="s">
        <v>1498</v>
      </c>
      <c r="C739" s="171" t="s">
        <v>122</v>
      </c>
      <c r="D739" s="171" t="s">
        <v>4</v>
      </c>
      <c r="E739" s="11">
        <v>41214</v>
      </c>
      <c r="H739" t="e">
        <v>#DIV/0!</v>
      </c>
      <c r="K739" t="e">
        <v>#DIV/0!</v>
      </c>
      <c r="M739" t="e">
        <v>#DIV/0!</v>
      </c>
      <c r="R739" t="e">
        <v>#DIV/0!</v>
      </c>
    </row>
    <row r="740" spans="1:20" x14ac:dyDescent="0.3">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x14ac:dyDescent="0.3">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x14ac:dyDescent="0.3">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x14ac:dyDescent="0.3">
      <c r="A743" t="s">
        <v>1505</v>
      </c>
      <c r="B743" s="171" t="s">
        <v>1506</v>
      </c>
      <c r="C743" s="171" t="s">
        <v>134</v>
      </c>
      <c r="D743" s="171" t="s">
        <v>80</v>
      </c>
      <c r="E743" s="11">
        <v>41214</v>
      </c>
      <c r="H743" t="e">
        <v>#DIV/0!</v>
      </c>
      <c r="K743" t="e">
        <v>#DIV/0!</v>
      </c>
      <c r="M743" t="e">
        <v>#DIV/0!</v>
      </c>
      <c r="R743" t="e">
        <v>#DIV/0!</v>
      </c>
    </row>
    <row r="744" spans="1:20" x14ac:dyDescent="0.3">
      <c r="A744" t="s">
        <v>1507</v>
      </c>
      <c r="B744" s="171" t="s">
        <v>1508</v>
      </c>
      <c r="C744" s="171" t="s">
        <v>137</v>
      </c>
      <c r="D744" s="171" t="s">
        <v>4</v>
      </c>
      <c r="E744" s="11">
        <v>41214</v>
      </c>
      <c r="H744" t="e">
        <v>#DIV/0!</v>
      </c>
      <c r="K744" t="e">
        <v>#DIV/0!</v>
      </c>
      <c r="M744" t="e">
        <v>#DIV/0!</v>
      </c>
      <c r="R744" t="e">
        <v>#DIV/0!</v>
      </c>
      <c r="T744">
        <v>1.1000000000000001</v>
      </c>
    </row>
    <row r="745" spans="1:20" x14ac:dyDescent="0.3">
      <c r="A745" t="s">
        <v>1509</v>
      </c>
      <c r="B745" s="171" t="s">
        <v>1510</v>
      </c>
      <c r="C745" s="171" t="s">
        <v>140</v>
      </c>
      <c r="D745" s="171" t="s">
        <v>80</v>
      </c>
      <c r="E745" s="11">
        <v>41214</v>
      </c>
      <c r="H745" t="e">
        <v>#DIV/0!</v>
      </c>
      <c r="K745" t="e">
        <v>#DIV/0!</v>
      </c>
      <c r="M745" t="e">
        <v>#DIV/0!</v>
      </c>
      <c r="R745" t="e">
        <v>#DIV/0!</v>
      </c>
    </row>
    <row r="746" spans="1:20" x14ac:dyDescent="0.3">
      <c r="A746" t="s">
        <v>1511</v>
      </c>
      <c r="B746" s="171" t="s">
        <v>1512</v>
      </c>
      <c r="C746" s="171" t="s">
        <v>143</v>
      </c>
      <c r="D746" s="171" t="s">
        <v>80</v>
      </c>
      <c r="E746" s="11">
        <v>41214</v>
      </c>
      <c r="H746" t="e">
        <v>#DIV/0!</v>
      </c>
      <c r="K746" t="e">
        <v>#DIV/0!</v>
      </c>
      <c r="M746" t="e">
        <v>#DIV/0!</v>
      </c>
      <c r="R746" t="e">
        <v>#DIV/0!</v>
      </c>
    </row>
    <row r="747" spans="1:20" x14ac:dyDescent="0.3">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1515</v>
      </c>
      <c r="B748" s="171" t="s">
        <v>1516</v>
      </c>
      <c r="C748" s="171" t="s">
        <v>149</v>
      </c>
      <c r="D748" s="171" t="s">
        <v>80</v>
      </c>
      <c r="E748" s="11">
        <v>41214</v>
      </c>
      <c r="H748" t="e">
        <v>#DIV/0!</v>
      </c>
      <c r="K748" t="e">
        <v>#DIV/0!</v>
      </c>
      <c r="M748" t="e">
        <v>#DIV/0!</v>
      </c>
      <c r="R748" t="e">
        <v>#DIV/0!</v>
      </c>
    </row>
    <row r="749" spans="1:20" x14ac:dyDescent="0.3">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x14ac:dyDescent="0.3">
      <c r="A750" t="s">
        <v>1519</v>
      </c>
      <c r="B750" s="171" t="s">
        <v>1520</v>
      </c>
      <c r="C750" s="171" t="s">
        <v>155</v>
      </c>
      <c r="D750" s="171" t="s">
        <v>80</v>
      </c>
      <c r="E750" s="11">
        <v>41214</v>
      </c>
      <c r="F750">
        <v>3</v>
      </c>
      <c r="G750">
        <v>3</v>
      </c>
      <c r="H750">
        <v>1</v>
      </c>
      <c r="J750">
        <v>17</v>
      </c>
      <c r="K750">
        <v>0</v>
      </c>
      <c r="L750">
        <v>27</v>
      </c>
      <c r="M750">
        <v>0.62962962962962965</v>
      </c>
      <c r="R750" t="e">
        <v>#DIV/0!</v>
      </c>
    </row>
    <row r="751" spans="1:20" x14ac:dyDescent="0.3">
      <c r="A751" t="s">
        <v>1521</v>
      </c>
      <c r="B751" s="171" t="s">
        <v>1522</v>
      </c>
      <c r="C751" s="171" t="s">
        <v>158</v>
      </c>
      <c r="D751" s="171" t="s">
        <v>80</v>
      </c>
      <c r="E751" s="11">
        <v>41214</v>
      </c>
      <c r="H751" t="e">
        <v>#DIV/0!</v>
      </c>
      <c r="K751" t="e">
        <v>#DIV/0!</v>
      </c>
      <c r="M751" t="e">
        <v>#DIV/0!</v>
      </c>
      <c r="R751" t="e">
        <v>#DIV/0!</v>
      </c>
    </row>
    <row r="752" spans="1:20" x14ac:dyDescent="0.3">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x14ac:dyDescent="0.3">
      <c r="A753" t="s">
        <v>1525</v>
      </c>
      <c r="B753" s="171" t="s">
        <v>1526</v>
      </c>
      <c r="C753" s="171" t="s">
        <v>164</v>
      </c>
      <c r="D753" s="171" t="s">
        <v>80</v>
      </c>
      <c r="E753" s="11">
        <v>41214</v>
      </c>
      <c r="F753">
        <v>1.5</v>
      </c>
      <c r="G753">
        <v>1.5</v>
      </c>
      <c r="H753">
        <v>1</v>
      </c>
      <c r="I753">
        <v>2</v>
      </c>
      <c r="K753" t="e">
        <v>#DIV/0!</v>
      </c>
      <c r="L753">
        <v>14.5</v>
      </c>
      <c r="M753">
        <v>0</v>
      </c>
      <c r="R753" t="e">
        <v>#DIV/0!</v>
      </c>
    </row>
    <row r="754" spans="1:20" x14ac:dyDescent="0.3">
      <c r="A754" t="s">
        <v>1527</v>
      </c>
      <c r="B754" s="171" t="s">
        <v>1528</v>
      </c>
      <c r="C754" s="171" t="s">
        <v>167</v>
      </c>
      <c r="D754" s="171" t="s">
        <v>4</v>
      </c>
      <c r="E754" s="11">
        <v>41214</v>
      </c>
      <c r="H754" t="e">
        <v>#DIV/0!</v>
      </c>
      <c r="K754" t="e">
        <v>#DIV/0!</v>
      </c>
      <c r="M754" t="e">
        <v>#DIV/0!</v>
      </c>
      <c r="R754" t="e">
        <v>#DIV/0!</v>
      </c>
    </row>
    <row r="755" spans="1:20" x14ac:dyDescent="0.3">
      <c r="A755" t="s">
        <v>1529</v>
      </c>
      <c r="B755" s="171" t="s">
        <v>1530</v>
      </c>
      <c r="C755" s="171" t="s">
        <v>170</v>
      </c>
      <c r="D755" s="171" t="s">
        <v>80</v>
      </c>
      <c r="E755" s="11">
        <v>41214</v>
      </c>
      <c r="H755" t="e">
        <v>#DIV/0!</v>
      </c>
      <c r="K755" t="e">
        <v>#DIV/0!</v>
      </c>
      <c r="M755" t="e">
        <v>#DIV/0!</v>
      </c>
      <c r="R755" t="e">
        <v>#DIV/0!</v>
      </c>
    </row>
    <row r="756" spans="1:20" x14ac:dyDescent="0.3">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x14ac:dyDescent="0.3">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x14ac:dyDescent="0.3">
      <c r="A758" t="s">
        <v>1535</v>
      </c>
      <c r="B758" s="171" t="s">
        <v>1536</v>
      </c>
      <c r="C758" s="171" t="s">
        <v>179</v>
      </c>
      <c r="D758" s="171" t="s">
        <v>4</v>
      </c>
      <c r="E758" s="11">
        <v>41214</v>
      </c>
      <c r="H758" t="e">
        <v>#DIV/0!</v>
      </c>
      <c r="K758" t="e">
        <v>#DIV/0!</v>
      </c>
      <c r="M758" t="e">
        <v>#DIV/0!</v>
      </c>
      <c r="R758" t="e">
        <v>#DIV/0!</v>
      </c>
      <c r="T758">
        <v>0.6</v>
      </c>
    </row>
    <row r="759" spans="1:20" x14ac:dyDescent="0.3">
      <c r="A759" t="s">
        <v>1537</v>
      </c>
      <c r="B759" s="171" t="s">
        <v>1538</v>
      </c>
      <c r="C759" s="171" t="s">
        <v>182</v>
      </c>
      <c r="D759" s="171" t="s">
        <v>80</v>
      </c>
      <c r="E759" s="11">
        <v>41214</v>
      </c>
      <c r="H759" t="e">
        <v>#DIV/0!</v>
      </c>
      <c r="K759" t="e">
        <v>#DIV/0!</v>
      </c>
      <c r="M759" t="e">
        <v>#DIV/0!</v>
      </c>
      <c r="R759" t="e">
        <v>#DIV/0!</v>
      </c>
    </row>
    <row r="760" spans="1:20" x14ac:dyDescent="0.3">
      <c r="A760" t="s">
        <v>1539</v>
      </c>
      <c r="B760" s="171" t="s">
        <v>1540</v>
      </c>
      <c r="C760" s="171" t="s">
        <v>185</v>
      </c>
      <c r="D760" s="171" t="s">
        <v>4</v>
      </c>
      <c r="E760" s="11">
        <v>41214</v>
      </c>
      <c r="F760">
        <v>3</v>
      </c>
      <c r="G760">
        <v>3</v>
      </c>
      <c r="H760">
        <v>1</v>
      </c>
      <c r="K760" t="e">
        <v>#DIV/0!</v>
      </c>
      <c r="M760" t="e">
        <v>#DIV/0!</v>
      </c>
      <c r="R760" t="e">
        <v>#DIV/0!</v>
      </c>
    </row>
    <row r="761" spans="1:20" x14ac:dyDescent="0.3">
      <c r="A761" t="s">
        <v>1541</v>
      </c>
      <c r="B761" s="171" t="s">
        <v>1542</v>
      </c>
      <c r="C761" s="171" t="s">
        <v>188</v>
      </c>
      <c r="D761" s="171" t="s">
        <v>80</v>
      </c>
      <c r="E761" s="11">
        <v>41214</v>
      </c>
      <c r="F761">
        <v>3</v>
      </c>
      <c r="G761">
        <v>3</v>
      </c>
      <c r="H761">
        <v>1</v>
      </c>
      <c r="K761" t="e">
        <v>#DIV/0!</v>
      </c>
      <c r="M761" t="e">
        <v>#DIV/0!</v>
      </c>
      <c r="R761" t="e">
        <v>#DIV/0!</v>
      </c>
    </row>
    <row r="762" spans="1:20" x14ac:dyDescent="0.3">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x14ac:dyDescent="0.3">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x14ac:dyDescent="0.3">
      <c r="A764" t="s">
        <v>1547</v>
      </c>
      <c r="B764" s="171" t="s">
        <v>1548</v>
      </c>
      <c r="C764" s="171" t="s">
        <v>197</v>
      </c>
      <c r="D764" s="171" t="s">
        <v>80</v>
      </c>
      <c r="E764" s="11">
        <v>41214</v>
      </c>
      <c r="H764" t="e">
        <v>#DIV/0!</v>
      </c>
      <c r="K764" t="e">
        <v>#DIV/0!</v>
      </c>
      <c r="M764" t="e">
        <v>#DIV/0!</v>
      </c>
      <c r="R764" t="e">
        <v>#DIV/0!</v>
      </c>
    </row>
    <row r="765" spans="1:20" x14ac:dyDescent="0.3">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x14ac:dyDescent="0.3">
      <c r="A766" t="s">
        <v>1551</v>
      </c>
      <c r="B766" s="171" t="s">
        <v>1552</v>
      </c>
      <c r="C766" s="171" t="s">
        <v>203</v>
      </c>
      <c r="D766" s="171" t="s">
        <v>80</v>
      </c>
      <c r="E766" s="11">
        <v>41214</v>
      </c>
      <c r="H766" t="e">
        <v>#DIV/0!</v>
      </c>
      <c r="K766" t="e">
        <v>#DIV/0!</v>
      </c>
      <c r="M766" t="e">
        <v>#DIV/0!</v>
      </c>
      <c r="R766" t="e">
        <v>#DIV/0!</v>
      </c>
    </row>
    <row r="767" spans="1:20" x14ac:dyDescent="0.3">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x14ac:dyDescent="0.3">
      <c r="A768" t="s">
        <v>1555</v>
      </c>
      <c r="B768" s="171" t="s">
        <v>1556</v>
      </c>
      <c r="C768" s="171" t="s">
        <v>209</v>
      </c>
      <c r="D768" s="171" t="s">
        <v>80</v>
      </c>
      <c r="E768" s="11">
        <v>41214</v>
      </c>
      <c r="H768" t="e">
        <v>#DIV/0!</v>
      </c>
      <c r="K768" t="e">
        <v>#DIV/0!</v>
      </c>
      <c r="M768" t="e">
        <v>#DIV/0!</v>
      </c>
      <c r="R768" t="e">
        <v>#DIV/0!</v>
      </c>
    </row>
    <row r="769" spans="1:20" x14ac:dyDescent="0.3">
      <c r="A769" t="s">
        <v>1557</v>
      </c>
      <c r="B769" s="171" t="s">
        <v>1558</v>
      </c>
      <c r="C769" s="171" t="s">
        <v>212</v>
      </c>
      <c r="D769" s="171" t="s">
        <v>4</v>
      </c>
      <c r="E769" s="11">
        <v>41214</v>
      </c>
      <c r="H769" t="e">
        <v>#DIV/0!</v>
      </c>
      <c r="K769" t="e">
        <v>#DIV/0!</v>
      </c>
      <c r="M769" t="e">
        <v>#DIV/0!</v>
      </c>
      <c r="R769" t="e">
        <v>#DIV/0!</v>
      </c>
    </row>
    <row r="770" spans="1:20" x14ac:dyDescent="0.3">
      <c r="A770" t="s">
        <v>1559</v>
      </c>
      <c r="B770" s="171" t="s">
        <v>1560</v>
      </c>
      <c r="C770" s="171" t="s">
        <v>215</v>
      </c>
      <c r="D770" s="171" t="s">
        <v>4</v>
      </c>
      <c r="E770" s="11">
        <v>41214</v>
      </c>
      <c r="H770" t="e">
        <v>#DIV/0!</v>
      </c>
      <c r="K770" t="e">
        <v>#DIV/0!</v>
      </c>
      <c r="M770" t="e">
        <v>#DIV/0!</v>
      </c>
      <c r="R770" t="e">
        <v>#DIV/0!</v>
      </c>
    </row>
    <row r="771" spans="1:20" x14ac:dyDescent="0.3">
      <c r="A771" t="s">
        <v>1561</v>
      </c>
      <c r="B771" s="171" t="s">
        <v>1562</v>
      </c>
      <c r="C771" s="171" t="s">
        <v>218</v>
      </c>
      <c r="D771" s="171" t="s">
        <v>80</v>
      </c>
      <c r="E771" s="11">
        <v>41214</v>
      </c>
      <c r="H771" t="e">
        <v>#DIV/0!</v>
      </c>
      <c r="K771" t="e">
        <v>#DIV/0!</v>
      </c>
      <c r="M771" t="e">
        <v>#DIV/0!</v>
      </c>
      <c r="R771" t="e">
        <v>#DIV/0!</v>
      </c>
      <c r="T771">
        <v>0.9731777777777777</v>
      </c>
    </row>
    <row r="772" spans="1:20" x14ac:dyDescent="0.3">
      <c r="A772" t="s">
        <v>1563</v>
      </c>
      <c r="B772" s="171" t="s">
        <v>1564</v>
      </c>
      <c r="C772" s="171" t="s">
        <v>221</v>
      </c>
      <c r="D772" s="171" t="s">
        <v>4</v>
      </c>
      <c r="E772" s="11">
        <v>41214</v>
      </c>
      <c r="F772">
        <v>1</v>
      </c>
      <c r="G772">
        <v>1</v>
      </c>
      <c r="H772">
        <v>1</v>
      </c>
      <c r="I772">
        <v>0</v>
      </c>
      <c r="L772">
        <v>0</v>
      </c>
      <c r="M772" t="e">
        <v>#DIV/0!</v>
      </c>
      <c r="R772" t="e">
        <v>#DIV/0!</v>
      </c>
      <c r="T772">
        <v>1</v>
      </c>
    </row>
    <row r="773" spans="1:20" x14ac:dyDescent="0.3">
      <c r="A773" t="s">
        <v>1565</v>
      </c>
      <c r="B773" s="171" t="s">
        <v>1566</v>
      </c>
      <c r="C773" s="171" t="s">
        <v>224</v>
      </c>
      <c r="D773" s="171" t="s">
        <v>80</v>
      </c>
      <c r="E773" s="11">
        <v>41214</v>
      </c>
      <c r="H773" t="e">
        <v>#DIV/0!</v>
      </c>
      <c r="K773" t="e">
        <v>#DIV/0!</v>
      </c>
      <c r="M773" t="e">
        <v>#DIV/0!</v>
      </c>
      <c r="R773" t="e">
        <v>#DIV/0!</v>
      </c>
      <c r="T773">
        <v>0.83</v>
      </c>
    </row>
    <row r="774" spans="1:20" x14ac:dyDescent="0.3">
      <c r="A774" t="s">
        <v>1567</v>
      </c>
      <c r="B774" s="171" t="s">
        <v>1568</v>
      </c>
      <c r="C774" s="171" t="s">
        <v>227</v>
      </c>
      <c r="D774" s="171" t="s">
        <v>80</v>
      </c>
      <c r="E774" s="11">
        <v>41214</v>
      </c>
      <c r="F774">
        <v>1</v>
      </c>
      <c r="G774">
        <v>1</v>
      </c>
      <c r="H774">
        <v>1</v>
      </c>
      <c r="K774" t="e">
        <v>#DIV/0!</v>
      </c>
      <c r="M774" t="e">
        <v>#DIV/0!</v>
      </c>
      <c r="R774" t="e">
        <v>#DIV/0!</v>
      </c>
    </row>
    <row r="775" spans="1:20" x14ac:dyDescent="0.3">
      <c r="A775" t="s">
        <v>1569</v>
      </c>
      <c r="B775" s="171" t="s">
        <v>1570</v>
      </c>
      <c r="C775" s="171" t="s">
        <v>230</v>
      </c>
      <c r="D775" s="171" t="s">
        <v>80</v>
      </c>
      <c r="E775" s="11">
        <v>41214</v>
      </c>
      <c r="H775" t="e">
        <v>#DIV/0!</v>
      </c>
      <c r="K775" t="e">
        <v>#DIV/0!</v>
      </c>
      <c r="M775" t="e">
        <v>#DIV/0!</v>
      </c>
      <c r="R775" t="e">
        <v>#DIV/0!</v>
      </c>
    </row>
    <row r="776" spans="1:20" x14ac:dyDescent="0.3">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x14ac:dyDescent="0.3">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x14ac:dyDescent="0.3">
      <c r="A779" t="s">
        <v>1577</v>
      </c>
      <c r="B779" s="171" t="s">
        <v>1578</v>
      </c>
      <c r="C779" s="171" t="s">
        <v>76</v>
      </c>
      <c r="D779" s="171" t="s">
        <v>80</v>
      </c>
      <c r="E779" s="11">
        <v>41214</v>
      </c>
      <c r="F779">
        <v>4</v>
      </c>
      <c r="G779">
        <v>2.5</v>
      </c>
      <c r="H779">
        <v>1.6</v>
      </c>
      <c r="K779" t="e">
        <v>#DIV/0!</v>
      </c>
      <c r="L779">
        <v>14.5</v>
      </c>
      <c r="M779">
        <v>0</v>
      </c>
      <c r="R779" t="e">
        <v>#DIV/0!</v>
      </c>
      <c r="T779">
        <v>1</v>
      </c>
    </row>
    <row r="780" spans="1:20" x14ac:dyDescent="0.3">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x14ac:dyDescent="0.3">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x14ac:dyDescent="0.3">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1593</v>
      </c>
      <c r="B787" s="171" t="s">
        <v>1594</v>
      </c>
      <c r="C787" s="171" t="s">
        <v>110</v>
      </c>
      <c r="D787" s="171" t="s">
        <v>4</v>
      </c>
      <c r="E787" s="11">
        <v>41214</v>
      </c>
      <c r="H787" t="e">
        <v>#DIV/0!</v>
      </c>
      <c r="I787">
        <v>5</v>
      </c>
      <c r="L787">
        <v>0</v>
      </c>
      <c r="M787" t="e">
        <v>#DIV/0!</v>
      </c>
      <c r="P787">
        <v>2</v>
      </c>
      <c r="Q787">
        <v>2</v>
      </c>
      <c r="R787">
        <v>1</v>
      </c>
    </row>
    <row r="788" spans="1:20" x14ac:dyDescent="0.3">
      <c r="A788" t="s">
        <v>1595</v>
      </c>
      <c r="B788" s="171" t="s">
        <v>1596</v>
      </c>
      <c r="C788" s="171" t="s">
        <v>113</v>
      </c>
      <c r="D788" s="171" t="s">
        <v>4</v>
      </c>
      <c r="E788" s="11">
        <v>41214</v>
      </c>
      <c r="F788">
        <v>6</v>
      </c>
      <c r="G788">
        <v>4</v>
      </c>
      <c r="H788">
        <v>1.5</v>
      </c>
      <c r="K788" t="e">
        <v>#DIV/0!</v>
      </c>
      <c r="L788">
        <v>20</v>
      </c>
      <c r="M788">
        <v>0</v>
      </c>
      <c r="R788" t="e">
        <v>#DIV/0!</v>
      </c>
    </row>
    <row r="789" spans="1:20" x14ac:dyDescent="0.3">
      <c r="A789" t="s">
        <v>1597</v>
      </c>
      <c r="B789" s="171" t="s">
        <v>1598</v>
      </c>
      <c r="C789" s="171" t="s">
        <v>116</v>
      </c>
      <c r="D789" s="171" t="s">
        <v>4</v>
      </c>
      <c r="E789" s="11">
        <v>41214</v>
      </c>
      <c r="H789" t="e">
        <v>#DIV/0!</v>
      </c>
      <c r="M789" t="e">
        <v>#DIV/0!</v>
      </c>
      <c r="R789" t="e">
        <v>#DIV/0!</v>
      </c>
    </row>
    <row r="790" spans="1:20" x14ac:dyDescent="0.3">
      <c r="A790" t="s">
        <v>1599</v>
      </c>
      <c r="B790" s="171" t="s">
        <v>1600</v>
      </c>
      <c r="C790" s="171" t="s">
        <v>119</v>
      </c>
      <c r="D790" s="171" t="s">
        <v>4</v>
      </c>
      <c r="E790" s="11">
        <v>41214</v>
      </c>
      <c r="H790" t="e">
        <v>#DIV/0!</v>
      </c>
      <c r="K790" t="e">
        <v>#DIV/0!</v>
      </c>
      <c r="M790" t="e">
        <v>#DIV/0!</v>
      </c>
      <c r="R790" t="e">
        <v>#DIV/0!</v>
      </c>
    </row>
    <row r="791" spans="1:20" x14ac:dyDescent="0.3">
      <c r="A791" t="s">
        <v>1601</v>
      </c>
      <c r="B791" s="171" t="s">
        <v>1602</v>
      </c>
      <c r="C791" s="171" t="s">
        <v>122</v>
      </c>
      <c r="D791" s="171" t="s">
        <v>80</v>
      </c>
      <c r="E791" s="11">
        <v>41214</v>
      </c>
      <c r="H791" t="e">
        <v>#DIV/0!</v>
      </c>
      <c r="K791" t="e">
        <v>#DIV/0!</v>
      </c>
      <c r="M791" t="e">
        <v>#DIV/0!</v>
      </c>
      <c r="R791" t="e">
        <v>#DIV/0!</v>
      </c>
      <c r="T791">
        <v>1.4000000000000001</v>
      </c>
    </row>
    <row r="792" spans="1:20" x14ac:dyDescent="0.3">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x14ac:dyDescent="0.3">
      <c r="A794" t="s">
        <v>1607</v>
      </c>
      <c r="B794" s="171" t="s">
        <v>1608</v>
      </c>
      <c r="C794" s="171" t="s">
        <v>131</v>
      </c>
      <c r="D794" s="171" t="s">
        <v>4</v>
      </c>
      <c r="E794" s="11">
        <v>41214</v>
      </c>
      <c r="F794">
        <v>6</v>
      </c>
      <c r="G794">
        <v>4</v>
      </c>
      <c r="H794">
        <v>1.5</v>
      </c>
      <c r="K794" t="e">
        <v>#DIV/0!</v>
      </c>
      <c r="L794">
        <v>27.5</v>
      </c>
      <c r="M794">
        <v>0</v>
      </c>
      <c r="R794" t="e">
        <v>#DIV/0!</v>
      </c>
    </row>
    <row r="795" spans="1:20" x14ac:dyDescent="0.3">
      <c r="A795" t="s">
        <v>1609</v>
      </c>
      <c r="B795" s="171" t="s">
        <v>1610</v>
      </c>
      <c r="C795" s="171" t="s">
        <v>134</v>
      </c>
      <c r="D795" s="171" t="s">
        <v>4</v>
      </c>
      <c r="E795" s="11">
        <v>41214</v>
      </c>
      <c r="H795" t="e">
        <v>#DIV/0!</v>
      </c>
      <c r="K795" t="e">
        <v>#DIV/0!</v>
      </c>
      <c r="M795" t="e">
        <v>#DIV/0!</v>
      </c>
      <c r="R795" t="e">
        <v>#DIV/0!</v>
      </c>
    </row>
    <row r="796" spans="1:20" x14ac:dyDescent="0.3">
      <c r="A796" t="s">
        <v>1611</v>
      </c>
      <c r="B796" s="171" t="s">
        <v>1612</v>
      </c>
      <c r="C796" s="171" t="s">
        <v>137</v>
      </c>
      <c r="D796" s="171" t="s">
        <v>80</v>
      </c>
      <c r="E796" s="11">
        <v>41214</v>
      </c>
      <c r="H796" t="e">
        <v>#DIV/0!</v>
      </c>
      <c r="K796" t="e">
        <v>#DIV/0!</v>
      </c>
      <c r="M796" t="e">
        <v>#DIV/0!</v>
      </c>
      <c r="R796" t="e">
        <v>#DIV/0!</v>
      </c>
    </row>
    <row r="797" spans="1:20" x14ac:dyDescent="0.3">
      <c r="A797" t="s">
        <v>1613</v>
      </c>
      <c r="B797" s="171" t="s">
        <v>1614</v>
      </c>
      <c r="C797" s="171" t="s">
        <v>140</v>
      </c>
      <c r="D797" s="171" t="s">
        <v>4</v>
      </c>
      <c r="E797" s="11">
        <v>41214</v>
      </c>
      <c r="H797" t="e">
        <v>#DIV/0!</v>
      </c>
      <c r="K797" t="e">
        <v>#DIV/0!</v>
      </c>
      <c r="M797" t="e">
        <v>#DIV/0!</v>
      </c>
      <c r="R797" t="e">
        <v>#DIV/0!</v>
      </c>
    </row>
    <row r="798" spans="1:20" x14ac:dyDescent="0.3">
      <c r="A798" t="s">
        <v>1615</v>
      </c>
      <c r="B798" s="171" t="s">
        <v>1616</v>
      </c>
      <c r="C798" s="171" t="s">
        <v>167</v>
      </c>
      <c r="D798" s="171" t="s">
        <v>80</v>
      </c>
      <c r="E798" s="11">
        <v>41214</v>
      </c>
      <c r="H798" t="e">
        <v>#DIV/0!</v>
      </c>
      <c r="K798" t="e">
        <v>#DIV/0!</v>
      </c>
      <c r="M798" t="e">
        <v>#DIV/0!</v>
      </c>
      <c r="R798" t="e">
        <v>#DIV/0!</v>
      </c>
      <c r="T798">
        <v>0.81904761904761902</v>
      </c>
    </row>
    <row r="799" spans="1:20" x14ac:dyDescent="0.3">
      <c r="A799" t="s">
        <v>1617</v>
      </c>
      <c r="B799" s="171" t="s">
        <v>1618</v>
      </c>
      <c r="C799" s="171" t="s">
        <v>170</v>
      </c>
      <c r="D799" s="171" t="s">
        <v>4</v>
      </c>
      <c r="E799" s="11">
        <v>41214</v>
      </c>
      <c r="H799" t="e">
        <v>#DIV/0!</v>
      </c>
      <c r="K799" t="e">
        <v>#DIV/0!</v>
      </c>
      <c r="M799" t="e">
        <v>#DIV/0!</v>
      </c>
      <c r="R799" t="e">
        <v>#DIV/0!</v>
      </c>
    </row>
    <row r="800" spans="1:20" x14ac:dyDescent="0.3">
      <c r="A800" t="s">
        <v>1619</v>
      </c>
      <c r="B800" s="171" t="s">
        <v>1620</v>
      </c>
      <c r="C800" s="171" t="s">
        <v>179</v>
      </c>
      <c r="D800" s="171" t="s">
        <v>80</v>
      </c>
      <c r="E800" s="11">
        <v>41214</v>
      </c>
      <c r="H800" t="e">
        <v>#DIV/0!</v>
      </c>
      <c r="K800" t="e">
        <v>#DIV/0!</v>
      </c>
      <c r="M800" t="e">
        <v>#DIV/0!</v>
      </c>
      <c r="R800" t="e">
        <v>#DIV/0!</v>
      </c>
      <c r="T800">
        <v>1.075</v>
      </c>
    </row>
    <row r="801" spans="1:20" x14ac:dyDescent="0.3">
      <c r="A801" t="s">
        <v>1621</v>
      </c>
      <c r="B801" s="171" t="s">
        <v>1622</v>
      </c>
      <c r="C801" s="171" t="s">
        <v>182</v>
      </c>
      <c r="D801" s="171" t="s">
        <v>4</v>
      </c>
      <c r="E801" s="11">
        <v>41214</v>
      </c>
      <c r="H801" t="e">
        <v>#DIV/0!</v>
      </c>
      <c r="K801" t="e">
        <v>#DIV/0!</v>
      </c>
      <c r="M801" t="e">
        <v>#DIV/0!</v>
      </c>
      <c r="R801" t="e">
        <v>#DIV/0!</v>
      </c>
    </row>
    <row r="802" spans="1:20" x14ac:dyDescent="0.3">
      <c r="A802" t="s">
        <v>1623</v>
      </c>
      <c r="B802" s="171" t="s">
        <v>1624</v>
      </c>
      <c r="C802" s="171" t="s">
        <v>185</v>
      </c>
      <c r="D802" s="171" t="s">
        <v>80</v>
      </c>
      <c r="E802" s="11">
        <v>41214</v>
      </c>
      <c r="F802">
        <v>3</v>
      </c>
      <c r="G802">
        <v>3</v>
      </c>
      <c r="H802">
        <v>1</v>
      </c>
      <c r="K802" t="e">
        <v>#DIV/0!</v>
      </c>
      <c r="M802" t="e">
        <v>#DIV/0!</v>
      </c>
      <c r="R802" t="e">
        <v>#DIV/0!</v>
      </c>
    </row>
    <row r="803" spans="1:20" x14ac:dyDescent="0.3">
      <c r="A803" t="s">
        <v>1625</v>
      </c>
      <c r="B803" s="171" t="s">
        <v>1626</v>
      </c>
      <c r="C803" s="171" t="s">
        <v>188</v>
      </c>
      <c r="D803" s="171" t="s">
        <v>4</v>
      </c>
      <c r="E803" s="11">
        <v>41214</v>
      </c>
      <c r="F803">
        <v>3</v>
      </c>
      <c r="G803">
        <v>3</v>
      </c>
      <c r="H803">
        <v>1</v>
      </c>
      <c r="K803" t="e">
        <v>#DIV/0!</v>
      </c>
      <c r="M803" t="e">
        <v>#DIV/0!</v>
      </c>
      <c r="R803" t="e">
        <v>#DIV/0!</v>
      </c>
    </row>
    <row r="804" spans="1:20" x14ac:dyDescent="0.3">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x14ac:dyDescent="0.3">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x14ac:dyDescent="0.3">
      <c r="A806" t="s">
        <v>1631</v>
      </c>
      <c r="B806" s="171" t="s">
        <v>1632</v>
      </c>
      <c r="C806" s="171" t="s">
        <v>197</v>
      </c>
      <c r="D806" s="171" t="s">
        <v>4</v>
      </c>
      <c r="E806" s="11">
        <v>41214</v>
      </c>
      <c r="H806" t="e">
        <v>#DIV/0!</v>
      </c>
      <c r="K806" t="e">
        <v>#DIV/0!</v>
      </c>
      <c r="M806" t="e">
        <v>#DIV/0!</v>
      </c>
      <c r="R806" t="e">
        <v>#DIV/0!</v>
      </c>
    </row>
    <row r="807" spans="1:20" x14ac:dyDescent="0.3">
      <c r="A807" t="s">
        <v>1633</v>
      </c>
      <c r="B807" s="171" t="s">
        <v>1634</v>
      </c>
      <c r="C807" s="171" t="s">
        <v>209</v>
      </c>
      <c r="D807" s="171" t="s">
        <v>4</v>
      </c>
      <c r="E807" s="11">
        <v>41214</v>
      </c>
      <c r="H807" t="e">
        <v>#DIV/0!</v>
      </c>
      <c r="K807" t="e">
        <v>#DIV/0!</v>
      </c>
      <c r="M807" t="e">
        <v>#DIV/0!</v>
      </c>
      <c r="R807" t="e">
        <v>#DIV/0!</v>
      </c>
    </row>
    <row r="808" spans="1:20" x14ac:dyDescent="0.3">
      <c r="A808" t="s">
        <v>1635</v>
      </c>
      <c r="B808" s="171" t="s">
        <v>1636</v>
      </c>
      <c r="C808" s="171" t="s">
        <v>212</v>
      </c>
      <c r="D808" s="171" t="s">
        <v>80</v>
      </c>
      <c r="E808" s="11">
        <v>41214</v>
      </c>
      <c r="H808" t="e">
        <v>#DIV/0!</v>
      </c>
      <c r="K808" t="e">
        <v>#DIV/0!</v>
      </c>
      <c r="M808" t="e">
        <v>#DIV/0!</v>
      </c>
      <c r="R808" t="e">
        <v>#DIV/0!</v>
      </c>
    </row>
    <row r="809" spans="1:20" x14ac:dyDescent="0.3">
      <c r="A809" t="s">
        <v>1637</v>
      </c>
      <c r="B809" s="171" t="s">
        <v>1638</v>
      </c>
      <c r="C809" s="171" t="s">
        <v>215</v>
      </c>
      <c r="D809" s="171" t="s">
        <v>80</v>
      </c>
      <c r="E809" s="11">
        <v>41214</v>
      </c>
      <c r="H809" t="e">
        <v>#DIV/0!</v>
      </c>
      <c r="K809" t="e">
        <v>#DIV/0!</v>
      </c>
      <c r="M809" t="e">
        <v>#DIV/0!</v>
      </c>
      <c r="R809" t="e">
        <v>#DIV/0!</v>
      </c>
    </row>
    <row r="810" spans="1:20" x14ac:dyDescent="0.3">
      <c r="A810" t="s">
        <v>1639</v>
      </c>
      <c r="B810" s="171" t="s">
        <v>1640</v>
      </c>
      <c r="C810" s="171" t="s">
        <v>218</v>
      </c>
      <c r="D810" s="171" t="s">
        <v>4</v>
      </c>
      <c r="E810" s="11">
        <v>41214</v>
      </c>
      <c r="H810" t="e">
        <v>#DIV/0!</v>
      </c>
      <c r="K810" t="e">
        <v>#DIV/0!</v>
      </c>
      <c r="M810" t="e">
        <v>#DIV/0!</v>
      </c>
      <c r="R810" t="e">
        <v>#DIV/0!</v>
      </c>
    </row>
    <row r="811" spans="1:20" x14ac:dyDescent="0.3">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x14ac:dyDescent="0.3">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x14ac:dyDescent="0.3">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x14ac:dyDescent="0.3">
      <c r="A814" t="s">
        <v>1647</v>
      </c>
      <c r="B814" s="171" t="s">
        <v>1648</v>
      </c>
      <c r="C814" s="171" t="s">
        <v>143</v>
      </c>
      <c r="D814" s="171" t="s">
        <v>4</v>
      </c>
      <c r="E814" s="11">
        <v>41214</v>
      </c>
      <c r="H814" t="e">
        <v>#DIV/0!</v>
      </c>
      <c r="K814" t="e">
        <v>#DIV/0!</v>
      </c>
      <c r="M814" t="e">
        <v>#DIV/0!</v>
      </c>
      <c r="R814" t="e">
        <v>#DIV/0!</v>
      </c>
      <c r="T814">
        <v>0.75</v>
      </c>
    </row>
    <row r="815" spans="1:20" x14ac:dyDescent="0.3">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1651</v>
      </c>
      <c r="B816" s="171" t="s">
        <v>1652</v>
      </c>
      <c r="C816" s="171" t="s">
        <v>149</v>
      </c>
      <c r="D816" s="171" t="s">
        <v>4</v>
      </c>
      <c r="E816" s="11">
        <v>41214</v>
      </c>
      <c r="H816" t="e">
        <v>#DIV/0!</v>
      </c>
      <c r="K816" t="e">
        <v>#DIV/0!</v>
      </c>
      <c r="M816" t="e">
        <v>#DIV/0!</v>
      </c>
      <c r="R816" t="e">
        <v>#DIV/0!</v>
      </c>
    </row>
    <row r="817" spans="1:20" x14ac:dyDescent="0.3">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x14ac:dyDescent="0.3">
      <c r="A818" t="s">
        <v>1655</v>
      </c>
      <c r="B818" s="171" t="s">
        <v>1656</v>
      </c>
      <c r="C818" s="171" t="s">
        <v>155</v>
      </c>
      <c r="D818" s="171" t="s">
        <v>4</v>
      </c>
      <c r="E818" s="11">
        <v>41214</v>
      </c>
      <c r="F818">
        <v>3</v>
      </c>
      <c r="G818">
        <v>3</v>
      </c>
      <c r="H818">
        <v>1</v>
      </c>
      <c r="J818">
        <v>17</v>
      </c>
      <c r="K818">
        <v>0</v>
      </c>
      <c r="L818">
        <v>27</v>
      </c>
      <c r="M818">
        <v>0.62962962962962965</v>
      </c>
      <c r="R818" t="e">
        <v>#DIV/0!</v>
      </c>
    </row>
    <row r="819" spans="1:20" x14ac:dyDescent="0.3">
      <c r="A819" t="s">
        <v>1657</v>
      </c>
      <c r="B819" s="171" t="s">
        <v>1658</v>
      </c>
      <c r="C819" s="171" t="s">
        <v>158</v>
      </c>
      <c r="D819" s="171" t="s">
        <v>4</v>
      </c>
      <c r="E819" s="11">
        <v>41214</v>
      </c>
      <c r="H819" t="e">
        <v>#DIV/0!</v>
      </c>
      <c r="K819" t="e">
        <v>#DIV/0!</v>
      </c>
      <c r="M819" t="e">
        <v>#DIV/0!</v>
      </c>
      <c r="R819" t="e">
        <v>#DIV/0!</v>
      </c>
    </row>
    <row r="820" spans="1:20" x14ac:dyDescent="0.3">
      <c r="A820" t="s">
        <v>1659</v>
      </c>
      <c r="B820" s="171" t="s">
        <v>1660</v>
      </c>
      <c r="C820" s="171" t="s">
        <v>164</v>
      </c>
      <c r="D820" s="171" t="s">
        <v>4</v>
      </c>
      <c r="E820" s="11">
        <v>41214</v>
      </c>
      <c r="F820">
        <v>1.5</v>
      </c>
      <c r="G820">
        <v>1.5</v>
      </c>
      <c r="H820">
        <v>1</v>
      </c>
      <c r="I820">
        <v>2</v>
      </c>
      <c r="K820" t="e">
        <v>#DIV/0!</v>
      </c>
      <c r="L820">
        <v>14.5</v>
      </c>
      <c r="M820">
        <v>0</v>
      </c>
      <c r="R820" t="e">
        <v>#DIV/0!</v>
      </c>
    </row>
    <row r="821" spans="1:20" x14ac:dyDescent="0.3">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x14ac:dyDescent="0.3">
      <c r="A822" t="s">
        <v>1663</v>
      </c>
      <c r="B822" s="171" t="s">
        <v>1664</v>
      </c>
      <c r="C822" s="171" t="s">
        <v>221</v>
      </c>
      <c r="D822" s="171" t="s">
        <v>80</v>
      </c>
      <c r="E822" s="11">
        <v>41214</v>
      </c>
      <c r="F822">
        <v>1</v>
      </c>
      <c r="G822">
        <v>1</v>
      </c>
      <c r="H822">
        <v>1</v>
      </c>
      <c r="I822">
        <v>0</v>
      </c>
      <c r="L822">
        <v>0</v>
      </c>
      <c r="M822" t="e">
        <v>#DIV/0!</v>
      </c>
      <c r="R822" t="e">
        <v>#DIV/0!</v>
      </c>
    </row>
    <row r="823" spans="1:20" x14ac:dyDescent="0.3">
      <c r="A823" t="s">
        <v>1665</v>
      </c>
      <c r="B823" s="171" t="s">
        <v>1666</v>
      </c>
      <c r="C823" s="171" t="s">
        <v>224</v>
      </c>
      <c r="D823" s="171" t="s">
        <v>4</v>
      </c>
      <c r="E823" s="11">
        <v>41214</v>
      </c>
      <c r="H823" t="e">
        <v>#DIV/0!</v>
      </c>
      <c r="K823" t="e">
        <v>#DIV/0!</v>
      </c>
      <c r="M823" t="e">
        <v>#DIV/0!</v>
      </c>
      <c r="R823" t="e">
        <v>#DIV/0!</v>
      </c>
    </row>
    <row r="824" spans="1:20" x14ac:dyDescent="0.3">
      <c r="A824" t="s">
        <v>1667</v>
      </c>
      <c r="B824" s="171" t="s">
        <v>1668</v>
      </c>
      <c r="C824" s="171" t="s">
        <v>227</v>
      </c>
      <c r="D824" s="171" t="s">
        <v>4</v>
      </c>
      <c r="E824" s="11">
        <v>41214</v>
      </c>
      <c r="F824">
        <v>1</v>
      </c>
      <c r="G824">
        <v>1</v>
      </c>
      <c r="H824">
        <v>1</v>
      </c>
      <c r="K824" t="e">
        <v>#DIV/0!</v>
      </c>
      <c r="M824" t="e">
        <v>#DIV/0!</v>
      </c>
      <c r="R824" t="e">
        <v>#DIV/0!</v>
      </c>
    </row>
    <row r="825" spans="1:20" x14ac:dyDescent="0.3">
      <c r="A825" t="s">
        <v>1669</v>
      </c>
      <c r="B825" s="171" t="s">
        <v>1670</v>
      </c>
      <c r="C825" s="171" t="s">
        <v>230</v>
      </c>
      <c r="D825" s="171" t="s">
        <v>4</v>
      </c>
      <c r="E825" s="11">
        <v>41214</v>
      </c>
      <c r="H825" t="e">
        <v>#DIV/0!</v>
      </c>
      <c r="K825" t="e">
        <v>#DIV/0!</v>
      </c>
      <c r="M825" t="e">
        <v>#DIV/0!</v>
      </c>
      <c r="R825" t="e">
        <v>#DIV/0!</v>
      </c>
    </row>
    <row r="826" spans="1:20" x14ac:dyDescent="0.3">
      <c r="A826" t="s">
        <v>1671</v>
      </c>
      <c r="B826" s="171" t="s">
        <v>1672</v>
      </c>
      <c r="C826" s="171" t="s">
        <v>73</v>
      </c>
      <c r="D826" s="171" t="s">
        <v>4</v>
      </c>
      <c r="E826" s="11">
        <v>41244</v>
      </c>
      <c r="F826">
        <v>4</v>
      </c>
      <c r="G826">
        <v>2.5</v>
      </c>
      <c r="H826">
        <v>1.6</v>
      </c>
      <c r="K826" t="e">
        <v>#DIV/0!</v>
      </c>
      <c r="L826">
        <v>14.5</v>
      </c>
      <c r="M826">
        <v>0</v>
      </c>
      <c r="R826" t="e">
        <v>#DIV/0!</v>
      </c>
    </row>
    <row r="827" spans="1:20" x14ac:dyDescent="0.3">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x14ac:dyDescent="0.3">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x14ac:dyDescent="0.3">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x14ac:dyDescent="0.3">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1695</v>
      </c>
      <c r="B838" s="171" t="s">
        <v>1696</v>
      </c>
      <c r="C838" s="171" t="s">
        <v>110</v>
      </c>
      <c r="D838" s="171" t="s">
        <v>80</v>
      </c>
      <c r="E838" s="11">
        <v>41244</v>
      </c>
      <c r="H838" t="e">
        <v>#DIV/0!</v>
      </c>
      <c r="I838">
        <v>5</v>
      </c>
      <c r="L838">
        <v>0</v>
      </c>
      <c r="M838" t="e">
        <v>#DIV/0!</v>
      </c>
      <c r="R838" t="e">
        <v>#DIV/0!</v>
      </c>
      <c r="T838">
        <v>0.72909090909090901</v>
      </c>
    </row>
    <row r="839" spans="1:20" x14ac:dyDescent="0.3">
      <c r="A839" t="s">
        <v>1697</v>
      </c>
      <c r="B839" s="171" t="s">
        <v>1698</v>
      </c>
      <c r="C839" s="171" t="s">
        <v>113</v>
      </c>
      <c r="D839" s="171" t="s">
        <v>80</v>
      </c>
      <c r="E839" s="11">
        <v>41244</v>
      </c>
      <c r="F839">
        <v>6</v>
      </c>
      <c r="G839">
        <v>4</v>
      </c>
      <c r="H839">
        <v>1.5</v>
      </c>
      <c r="K839" t="e">
        <v>#DIV/0!</v>
      </c>
      <c r="L839">
        <v>20</v>
      </c>
      <c r="M839">
        <v>0</v>
      </c>
      <c r="R839" t="e">
        <v>#DIV/0!</v>
      </c>
      <c r="T839">
        <v>0</v>
      </c>
    </row>
    <row r="840" spans="1:20" x14ac:dyDescent="0.3">
      <c r="A840" t="s">
        <v>1699</v>
      </c>
      <c r="B840" s="171" t="s">
        <v>1700</v>
      </c>
      <c r="C840" s="171" t="s">
        <v>116</v>
      </c>
      <c r="D840" s="171" t="s">
        <v>80</v>
      </c>
      <c r="E840" s="11">
        <v>41244</v>
      </c>
      <c r="H840" t="e">
        <v>#DIV/0!</v>
      </c>
      <c r="M840" t="e">
        <v>#DIV/0!</v>
      </c>
      <c r="R840" t="e">
        <v>#DIV/0!</v>
      </c>
      <c r="T840">
        <v>0.93088484848484865</v>
      </c>
    </row>
    <row r="841" spans="1:20" x14ac:dyDescent="0.3">
      <c r="A841" t="s">
        <v>1701</v>
      </c>
      <c r="B841" s="171" t="s">
        <v>1702</v>
      </c>
      <c r="C841" s="171" t="s">
        <v>119</v>
      </c>
      <c r="D841" s="171" t="s">
        <v>80</v>
      </c>
      <c r="E841" s="11">
        <v>41244</v>
      </c>
      <c r="H841" t="e">
        <v>#DIV/0!</v>
      </c>
      <c r="K841" t="e">
        <v>#DIV/0!</v>
      </c>
      <c r="M841" t="e">
        <v>#DIV/0!</v>
      </c>
      <c r="R841" t="e">
        <v>#DIV/0!</v>
      </c>
      <c r="T841">
        <v>1.5</v>
      </c>
    </row>
    <row r="842" spans="1:20" x14ac:dyDescent="0.3">
      <c r="A842" t="s">
        <v>1703</v>
      </c>
      <c r="B842" s="171" t="s">
        <v>1704</v>
      </c>
      <c r="C842" s="171" t="s">
        <v>122</v>
      </c>
      <c r="D842" s="171" t="s">
        <v>4</v>
      </c>
      <c r="E842" s="11">
        <v>41244</v>
      </c>
      <c r="H842" t="e">
        <v>#DIV/0!</v>
      </c>
      <c r="K842" t="e">
        <v>#DIV/0!</v>
      </c>
      <c r="M842" t="e">
        <v>#DIV/0!</v>
      </c>
      <c r="R842" t="e">
        <v>#DIV/0!</v>
      </c>
      <c r="T842">
        <v>1.125</v>
      </c>
    </row>
    <row r="843" spans="1:20" x14ac:dyDescent="0.3">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x14ac:dyDescent="0.3">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x14ac:dyDescent="0.3">
      <c r="A845" t="s">
        <v>1709</v>
      </c>
      <c r="B845" s="171" t="s">
        <v>1710</v>
      </c>
      <c r="C845" s="171" t="s">
        <v>131</v>
      </c>
      <c r="D845" s="171" t="s">
        <v>80</v>
      </c>
      <c r="E845" s="11">
        <v>41244</v>
      </c>
      <c r="F845">
        <v>6</v>
      </c>
      <c r="G845">
        <v>4</v>
      </c>
      <c r="H845">
        <v>1.5</v>
      </c>
      <c r="I845">
        <v>18</v>
      </c>
      <c r="K845" t="e">
        <v>#DIV/0!</v>
      </c>
      <c r="L845">
        <v>27.5</v>
      </c>
      <c r="M845">
        <v>0</v>
      </c>
      <c r="R845" t="e">
        <v>#DIV/0!</v>
      </c>
    </row>
    <row r="846" spans="1:20" x14ac:dyDescent="0.3">
      <c r="A846" t="s">
        <v>1711</v>
      </c>
      <c r="B846" s="171" t="s">
        <v>1712</v>
      </c>
      <c r="C846" s="171" t="s">
        <v>134</v>
      </c>
      <c r="D846" s="171" t="s">
        <v>80</v>
      </c>
      <c r="E846" s="11">
        <v>41244</v>
      </c>
      <c r="H846" t="e">
        <v>#DIV/0!</v>
      </c>
      <c r="K846" t="e">
        <v>#DIV/0!</v>
      </c>
      <c r="M846" t="e">
        <v>#DIV/0!</v>
      </c>
      <c r="R846" t="e">
        <v>#DIV/0!</v>
      </c>
    </row>
    <row r="847" spans="1:20" x14ac:dyDescent="0.3">
      <c r="A847" t="s">
        <v>1713</v>
      </c>
      <c r="B847" s="171" t="s">
        <v>1714</v>
      </c>
      <c r="C847" s="171" t="s">
        <v>137</v>
      </c>
      <c r="D847" s="171" t="s">
        <v>4</v>
      </c>
      <c r="E847" s="11">
        <v>41244</v>
      </c>
      <c r="H847" t="e">
        <v>#DIV/0!</v>
      </c>
      <c r="K847" t="e">
        <v>#DIV/0!</v>
      </c>
      <c r="M847" t="e">
        <v>#DIV/0!</v>
      </c>
      <c r="R847" t="e">
        <v>#DIV/0!</v>
      </c>
      <c r="T847">
        <v>1.0176308539944903</v>
      </c>
    </row>
    <row r="848" spans="1:20" x14ac:dyDescent="0.3">
      <c r="A848" t="s">
        <v>1715</v>
      </c>
      <c r="B848" s="171" t="s">
        <v>1716</v>
      </c>
      <c r="C848" s="171" t="s">
        <v>140</v>
      </c>
      <c r="D848" s="171" t="s">
        <v>80</v>
      </c>
      <c r="E848" s="11">
        <v>41244</v>
      </c>
      <c r="H848" t="e">
        <v>#DIV/0!</v>
      </c>
      <c r="K848" t="e">
        <v>#DIV/0!</v>
      </c>
      <c r="M848" t="e">
        <v>#DIV/0!</v>
      </c>
      <c r="R848" t="e">
        <v>#DIV/0!</v>
      </c>
      <c r="T848">
        <v>1.0249999999999999</v>
      </c>
    </row>
    <row r="849" spans="1:20" x14ac:dyDescent="0.3">
      <c r="A849" t="s">
        <v>1717</v>
      </c>
      <c r="B849" s="171" t="s">
        <v>1718</v>
      </c>
      <c r="C849" s="171" t="s">
        <v>143</v>
      </c>
      <c r="D849" s="171" t="s">
        <v>80</v>
      </c>
      <c r="E849" s="11">
        <v>41244</v>
      </c>
      <c r="H849" t="e">
        <v>#DIV/0!</v>
      </c>
      <c r="K849" t="e">
        <v>#DIV/0!</v>
      </c>
      <c r="M849" t="e">
        <v>#DIV/0!</v>
      </c>
      <c r="R849" t="e">
        <v>#DIV/0!</v>
      </c>
      <c r="T849">
        <v>0.81818181818181823</v>
      </c>
    </row>
    <row r="850" spans="1:20" x14ac:dyDescent="0.3">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1721</v>
      </c>
      <c r="B851" s="171" t="s">
        <v>1722</v>
      </c>
      <c r="C851" s="171" t="s">
        <v>149</v>
      </c>
      <c r="D851" s="171" t="s">
        <v>80</v>
      </c>
      <c r="E851" s="11">
        <v>41244</v>
      </c>
      <c r="H851" t="e">
        <v>#DIV/0!</v>
      </c>
      <c r="K851" t="e">
        <v>#DIV/0!</v>
      </c>
      <c r="M851" t="e">
        <v>#DIV/0!</v>
      </c>
      <c r="R851" t="e">
        <v>#DIV/0!</v>
      </c>
    </row>
    <row r="852" spans="1:20" x14ac:dyDescent="0.3">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x14ac:dyDescent="0.3">
      <c r="A853" t="s">
        <v>1725</v>
      </c>
      <c r="B853" s="171" t="s">
        <v>1726</v>
      </c>
      <c r="C853" s="171" t="s">
        <v>155</v>
      </c>
      <c r="D853" s="171" t="s">
        <v>80</v>
      </c>
      <c r="E853" s="11">
        <v>41244</v>
      </c>
      <c r="F853">
        <v>3</v>
      </c>
      <c r="G853">
        <v>3</v>
      </c>
      <c r="H853">
        <v>1</v>
      </c>
      <c r="J853">
        <v>17</v>
      </c>
      <c r="K853">
        <v>0</v>
      </c>
      <c r="L853">
        <v>27</v>
      </c>
      <c r="M853">
        <v>0.62962962962962965</v>
      </c>
      <c r="R853" t="e">
        <v>#DIV/0!</v>
      </c>
    </row>
    <row r="854" spans="1:20" x14ac:dyDescent="0.3">
      <c r="A854" t="s">
        <v>1727</v>
      </c>
      <c r="B854" s="171" t="s">
        <v>1728</v>
      </c>
      <c r="C854" s="171" t="s">
        <v>158</v>
      </c>
      <c r="D854" s="171" t="s">
        <v>80</v>
      </c>
      <c r="E854" s="11">
        <v>41244</v>
      </c>
      <c r="H854" t="e">
        <v>#DIV/0!</v>
      </c>
      <c r="K854" t="e">
        <v>#DIV/0!</v>
      </c>
      <c r="M854" t="e">
        <v>#DIV/0!</v>
      </c>
      <c r="R854" t="e">
        <v>#DIV/0!</v>
      </c>
      <c r="T854">
        <v>0.77575757575757587</v>
      </c>
    </row>
    <row r="855" spans="1:20" x14ac:dyDescent="0.3">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x14ac:dyDescent="0.3">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x14ac:dyDescent="0.3">
      <c r="A857" t="s">
        <v>1733</v>
      </c>
      <c r="B857" s="171" t="s">
        <v>1734</v>
      </c>
      <c r="C857" s="171" t="s">
        <v>167</v>
      </c>
      <c r="D857" s="171" t="s">
        <v>4</v>
      </c>
      <c r="E857" s="11">
        <v>41244</v>
      </c>
      <c r="H857" t="e">
        <v>#DIV/0!</v>
      </c>
      <c r="K857" t="e">
        <v>#DIV/0!</v>
      </c>
      <c r="M857" t="e">
        <v>#DIV/0!</v>
      </c>
      <c r="R857" t="e">
        <v>#DIV/0!</v>
      </c>
      <c r="T857">
        <v>0.4</v>
      </c>
    </row>
    <row r="858" spans="1:20" x14ac:dyDescent="0.3">
      <c r="A858" t="s">
        <v>1735</v>
      </c>
      <c r="B858" s="171" t="s">
        <v>1736</v>
      </c>
      <c r="C858" s="171" t="s">
        <v>170</v>
      </c>
      <c r="D858" s="171" t="s">
        <v>80</v>
      </c>
      <c r="E858" s="11">
        <v>41244</v>
      </c>
      <c r="H858" t="e">
        <v>#DIV/0!</v>
      </c>
      <c r="K858" t="e">
        <v>#DIV/0!</v>
      </c>
      <c r="M858" t="e">
        <v>#DIV/0!</v>
      </c>
      <c r="R858" t="e">
        <v>#DIV/0!</v>
      </c>
    </row>
    <row r="859" spans="1:20" x14ac:dyDescent="0.3">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x14ac:dyDescent="0.3">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x14ac:dyDescent="0.3">
      <c r="A861" t="s">
        <v>1741</v>
      </c>
      <c r="B861" s="171" t="s">
        <v>1742</v>
      </c>
      <c r="C861" s="171" t="s">
        <v>179</v>
      </c>
      <c r="D861" s="171" t="s">
        <v>4</v>
      </c>
      <c r="E861" s="11">
        <v>41244</v>
      </c>
      <c r="H861" t="e">
        <v>#DIV/0!</v>
      </c>
      <c r="K861" t="e">
        <v>#DIV/0!</v>
      </c>
      <c r="M861" t="e">
        <v>#DIV/0!</v>
      </c>
      <c r="R861" t="e">
        <v>#DIV/0!</v>
      </c>
    </row>
    <row r="862" spans="1:20" x14ac:dyDescent="0.3">
      <c r="A862" t="s">
        <v>1743</v>
      </c>
      <c r="B862" s="171" t="s">
        <v>1744</v>
      </c>
      <c r="C862" s="171" t="s">
        <v>182</v>
      </c>
      <c r="D862" s="171" t="s">
        <v>80</v>
      </c>
      <c r="E862" s="11">
        <v>41244</v>
      </c>
      <c r="H862" t="e">
        <v>#DIV/0!</v>
      </c>
      <c r="K862" t="e">
        <v>#DIV/0!</v>
      </c>
      <c r="M862" t="e">
        <v>#DIV/0!</v>
      </c>
      <c r="R862" t="e">
        <v>#DIV/0!</v>
      </c>
    </row>
    <row r="863" spans="1:20" x14ac:dyDescent="0.3">
      <c r="A863" t="s">
        <v>1745</v>
      </c>
      <c r="B863" s="171" t="s">
        <v>1746</v>
      </c>
      <c r="C863" s="171" t="s">
        <v>185</v>
      </c>
      <c r="D863" s="171" t="s">
        <v>4</v>
      </c>
      <c r="E863" s="11">
        <v>41244</v>
      </c>
      <c r="F863">
        <v>3</v>
      </c>
      <c r="G863">
        <v>3</v>
      </c>
      <c r="H863">
        <v>1</v>
      </c>
      <c r="K863" t="e">
        <v>#DIV/0!</v>
      </c>
      <c r="M863" t="e">
        <v>#DIV/0!</v>
      </c>
      <c r="R863" t="e">
        <v>#DIV/0!</v>
      </c>
      <c r="T863">
        <v>0.91</v>
      </c>
    </row>
    <row r="864" spans="1:20" x14ac:dyDescent="0.3">
      <c r="A864" t="s">
        <v>1747</v>
      </c>
      <c r="B864" s="171" t="s">
        <v>1748</v>
      </c>
      <c r="C864" s="171" t="s">
        <v>188</v>
      </c>
      <c r="D864" s="171" t="s">
        <v>80</v>
      </c>
      <c r="E864" s="11">
        <v>41244</v>
      </c>
      <c r="F864">
        <v>3</v>
      </c>
      <c r="G864">
        <v>3</v>
      </c>
      <c r="H864">
        <v>1</v>
      </c>
      <c r="K864" t="e">
        <v>#DIV/0!</v>
      </c>
      <c r="M864" t="e">
        <v>#DIV/0!</v>
      </c>
      <c r="R864" t="e">
        <v>#DIV/0!</v>
      </c>
      <c r="T864">
        <v>0.91</v>
      </c>
    </row>
    <row r="865" spans="1:20" x14ac:dyDescent="0.3">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x14ac:dyDescent="0.3">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x14ac:dyDescent="0.3">
      <c r="A867" t="s">
        <v>1753</v>
      </c>
      <c r="B867" s="171" t="s">
        <v>1754</v>
      </c>
      <c r="C867" s="171" t="s">
        <v>197</v>
      </c>
      <c r="D867" s="171" t="s">
        <v>80</v>
      </c>
      <c r="E867" s="11">
        <v>41244</v>
      </c>
      <c r="H867" t="e">
        <v>#DIV/0!</v>
      </c>
      <c r="K867" t="e">
        <v>#DIV/0!</v>
      </c>
      <c r="M867" t="e">
        <v>#DIV/0!</v>
      </c>
      <c r="R867" t="e">
        <v>#DIV/0!</v>
      </c>
      <c r="T867">
        <v>1</v>
      </c>
    </row>
    <row r="868" spans="1:20" x14ac:dyDescent="0.3">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x14ac:dyDescent="0.3">
      <c r="A869" t="s">
        <v>1757</v>
      </c>
      <c r="B869" s="171" t="s">
        <v>1758</v>
      </c>
      <c r="C869" s="171" t="s">
        <v>203</v>
      </c>
      <c r="D869" s="171" t="s">
        <v>80</v>
      </c>
      <c r="E869" s="11">
        <v>41244</v>
      </c>
      <c r="H869" t="e">
        <v>#DIV/0!</v>
      </c>
      <c r="K869" t="e">
        <v>#DIV/0!</v>
      </c>
      <c r="M869" t="e">
        <v>#DIV/0!</v>
      </c>
      <c r="R869" t="e">
        <v>#DIV/0!</v>
      </c>
      <c r="T869">
        <v>1.1333333333333333</v>
      </c>
    </row>
    <row r="870" spans="1:20" x14ac:dyDescent="0.3">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x14ac:dyDescent="0.3">
      <c r="A871" t="s">
        <v>1761</v>
      </c>
      <c r="B871" s="171" t="s">
        <v>1762</v>
      </c>
      <c r="C871" s="171" t="s">
        <v>209</v>
      </c>
      <c r="D871" s="171" t="s">
        <v>80</v>
      </c>
      <c r="E871" s="11">
        <v>41244</v>
      </c>
      <c r="H871" t="e">
        <v>#DIV/0!</v>
      </c>
      <c r="K871" t="e">
        <v>#DIV/0!</v>
      </c>
      <c r="M871" t="e">
        <v>#DIV/0!</v>
      </c>
      <c r="R871" t="e">
        <v>#DIV/0!</v>
      </c>
    </row>
    <row r="872" spans="1:20" x14ac:dyDescent="0.3">
      <c r="A872" t="s">
        <v>1763</v>
      </c>
      <c r="B872" s="171" t="s">
        <v>1764</v>
      </c>
      <c r="C872" s="171" t="s">
        <v>212</v>
      </c>
      <c r="D872" s="171" t="s">
        <v>4</v>
      </c>
      <c r="E872" s="11">
        <v>41244</v>
      </c>
      <c r="H872" t="e">
        <v>#DIV/0!</v>
      </c>
      <c r="K872" t="e">
        <v>#DIV/0!</v>
      </c>
      <c r="M872" t="e">
        <v>#DIV/0!</v>
      </c>
      <c r="R872" t="e">
        <v>#DIV/0!</v>
      </c>
      <c r="T872">
        <v>0.43888888888888888</v>
      </c>
    </row>
    <row r="873" spans="1:20" x14ac:dyDescent="0.3">
      <c r="A873" t="s">
        <v>1765</v>
      </c>
      <c r="B873" s="171" t="s">
        <v>1766</v>
      </c>
      <c r="C873" s="171" t="s">
        <v>215</v>
      </c>
      <c r="D873" s="171" t="s">
        <v>4</v>
      </c>
      <c r="E873" s="11">
        <v>41244</v>
      </c>
      <c r="H873" t="e">
        <v>#DIV/0!</v>
      </c>
      <c r="K873" t="e">
        <v>#DIV/0!</v>
      </c>
      <c r="M873" t="e">
        <v>#DIV/0!</v>
      </c>
      <c r="R873" t="e">
        <v>#DIV/0!</v>
      </c>
    </row>
    <row r="874" spans="1:20" x14ac:dyDescent="0.3">
      <c r="A874" t="s">
        <v>1767</v>
      </c>
      <c r="B874" s="171" t="s">
        <v>1768</v>
      </c>
      <c r="C874" s="171" t="s">
        <v>218</v>
      </c>
      <c r="D874" s="171" t="s">
        <v>80</v>
      </c>
      <c r="E874" s="11">
        <v>41244</v>
      </c>
      <c r="H874" t="e">
        <v>#DIV/0!</v>
      </c>
      <c r="K874" t="e">
        <v>#DIV/0!</v>
      </c>
      <c r="M874" t="e">
        <v>#DIV/0!</v>
      </c>
      <c r="R874" t="e">
        <v>#DIV/0!</v>
      </c>
      <c r="T874">
        <v>0.79</v>
      </c>
    </row>
    <row r="875" spans="1:20" x14ac:dyDescent="0.3">
      <c r="A875" t="s">
        <v>1769</v>
      </c>
      <c r="B875" s="171" t="s">
        <v>1770</v>
      </c>
      <c r="C875" s="171" t="s">
        <v>221</v>
      </c>
      <c r="D875" s="171" t="s">
        <v>4</v>
      </c>
      <c r="E875" s="11">
        <v>41244</v>
      </c>
      <c r="F875">
        <v>1</v>
      </c>
      <c r="G875">
        <v>1</v>
      </c>
      <c r="H875">
        <v>1</v>
      </c>
      <c r="I875">
        <v>0</v>
      </c>
      <c r="L875">
        <v>0</v>
      </c>
      <c r="M875" t="e">
        <v>#DIV/0!</v>
      </c>
      <c r="R875" t="e">
        <v>#DIV/0!</v>
      </c>
    </row>
    <row r="876" spans="1:20" x14ac:dyDescent="0.3">
      <c r="A876" t="s">
        <v>1771</v>
      </c>
      <c r="B876" s="171" t="s">
        <v>1772</v>
      </c>
      <c r="C876" s="171" t="s">
        <v>224</v>
      </c>
      <c r="D876" s="171" t="s">
        <v>80</v>
      </c>
      <c r="E876" s="11">
        <v>41244</v>
      </c>
      <c r="H876" t="e">
        <v>#DIV/0!</v>
      </c>
      <c r="K876" t="e">
        <v>#DIV/0!</v>
      </c>
      <c r="M876" t="e">
        <v>#DIV/0!</v>
      </c>
      <c r="R876" t="e">
        <v>#DIV/0!</v>
      </c>
    </row>
    <row r="877" spans="1:20" x14ac:dyDescent="0.3">
      <c r="A877" t="s">
        <v>1773</v>
      </c>
      <c r="B877" s="171" t="s">
        <v>1774</v>
      </c>
      <c r="C877" s="171" t="s">
        <v>227</v>
      </c>
      <c r="D877" s="171" t="s">
        <v>80</v>
      </c>
      <c r="E877" s="11">
        <v>41244</v>
      </c>
      <c r="F877">
        <v>1</v>
      </c>
      <c r="G877">
        <v>1</v>
      </c>
      <c r="H877">
        <v>1</v>
      </c>
      <c r="K877" t="e">
        <v>#DIV/0!</v>
      </c>
      <c r="M877" t="e">
        <v>#DIV/0!</v>
      </c>
      <c r="R877" t="e">
        <v>#DIV/0!</v>
      </c>
    </row>
    <row r="878" spans="1:20" x14ac:dyDescent="0.3">
      <c r="A878" t="s">
        <v>1775</v>
      </c>
      <c r="B878" s="171" t="s">
        <v>1776</v>
      </c>
      <c r="C878" s="171" t="s">
        <v>230</v>
      </c>
      <c r="D878" s="171" t="s">
        <v>80</v>
      </c>
      <c r="E878" s="11">
        <v>41244</v>
      </c>
      <c r="H878" t="e">
        <v>#DIV/0!</v>
      </c>
      <c r="K878" t="e">
        <v>#DIV/0!</v>
      </c>
      <c r="M878" t="e">
        <v>#DIV/0!</v>
      </c>
      <c r="R878" t="e">
        <v>#DIV/0!</v>
      </c>
    </row>
    <row r="879" spans="1:20" x14ac:dyDescent="0.3">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x14ac:dyDescent="0.3">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x14ac:dyDescent="0.3">
      <c r="A882" t="s">
        <v>1783</v>
      </c>
      <c r="B882" s="171" t="s">
        <v>1784</v>
      </c>
      <c r="C882" s="171" t="s">
        <v>76</v>
      </c>
      <c r="D882" s="171" t="s">
        <v>80</v>
      </c>
      <c r="E882" s="11">
        <v>41244</v>
      </c>
      <c r="F882">
        <v>4</v>
      </c>
      <c r="G882">
        <v>2.5</v>
      </c>
      <c r="H882">
        <v>1.6</v>
      </c>
      <c r="K882" t="e">
        <v>#DIV/0!</v>
      </c>
      <c r="L882">
        <v>14.5</v>
      </c>
      <c r="M882">
        <v>0</v>
      </c>
      <c r="R882" t="e">
        <v>#DIV/0!</v>
      </c>
    </row>
    <row r="883" spans="1:20" x14ac:dyDescent="0.3">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x14ac:dyDescent="0.3">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1799</v>
      </c>
      <c r="B890" s="171" t="s">
        <v>1800</v>
      </c>
      <c r="C890" s="171" t="s">
        <v>110</v>
      </c>
      <c r="D890" s="171" t="s">
        <v>4</v>
      </c>
      <c r="E890" s="11">
        <v>41244</v>
      </c>
      <c r="H890" t="e">
        <v>#DIV/0!</v>
      </c>
      <c r="I890">
        <v>5</v>
      </c>
      <c r="L890">
        <v>0</v>
      </c>
      <c r="M890" t="e">
        <v>#DIV/0!</v>
      </c>
      <c r="R890" t="e">
        <v>#DIV/0!</v>
      </c>
      <c r="T890">
        <v>1.09375</v>
      </c>
    </row>
    <row r="891" spans="1:20" x14ac:dyDescent="0.3">
      <c r="A891" t="s">
        <v>1801</v>
      </c>
      <c r="B891" s="171" t="s">
        <v>1802</v>
      </c>
      <c r="C891" s="171" t="s">
        <v>113</v>
      </c>
      <c r="D891" s="171" t="s">
        <v>4</v>
      </c>
      <c r="E891" s="11">
        <v>41244</v>
      </c>
      <c r="F891">
        <v>6</v>
      </c>
      <c r="G891">
        <v>4</v>
      </c>
      <c r="H891">
        <v>1.5</v>
      </c>
      <c r="K891" t="e">
        <v>#DIV/0!</v>
      </c>
      <c r="L891">
        <v>20</v>
      </c>
      <c r="M891">
        <v>0</v>
      </c>
      <c r="R891" t="e">
        <v>#DIV/0!</v>
      </c>
      <c r="T891">
        <v>0.77700000000000002</v>
      </c>
    </row>
    <row r="892" spans="1:20" x14ac:dyDescent="0.3">
      <c r="A892" t="s">
        <v>1803</v>
      </c>
      <c r="B892" s="171" t="s">
        <v>1804</v>
      </c>
      <c r="C892" s="171" t="s">
        <v>116</v>
      </c>
      <c r="D892" s="171" t="s">
        <v>4</v>
      </c>
      <c r="E892" s="11">
        <v>41244</v>
      </c>
      <c r="H892" t="e">
        <v>#DIV/0!</v>
      </c>
      <c r="M892" t="e">
        <v>#DIV/0!</v>
      </c>
      <c r="R892" t="e">
        <v>#DIV/0!</v>
      </c>
      <c r="T892">
        <v>0.89</v>
      </c>
    </row>
    <row r="893" spans="1:20" x14ac:dyDescent="0.3">
      <c r="A893" t="s">
        <v>1805</v>
      </c>
      <c r="B893" s="171" t="s">
        <v>1806</v>
      </c>
      <c r="C893" s="171" t="s">
        <v>119</v>
      </c>
      <c r="D893" s="171" t="s">
        <v>4</v>
      </c>
      <c r="E893" s="11">
        <v>41244</v>
      </c>
      <c r="H893" t="e">
        <v>#DIV/0!</v>
      </c>
      <c r="K893" t="e">
        <v>#DIV/0!</v>
      </c>
      <c r="M893" t="e">
        <v>#DIV/0!</v>
      </c>
      <c r="R893" t="e">
        <v>#DIV/0!</v>
      </c>
      <c r="T893">
        <v>0.85000000000000009</v>
      </c>
    </row>
    <row r="894" spans="1:20" x14ac:dyDescent="0.3">
      <c r="A894" t="s">
        <v>1807</v>
      </c>
      <c r="B894" s="171" t="s">
        <v>1808</v>
      </c>
      <c r="C894" s="171" t="s">
        <v>122</v>
      </c>
      <c r="D894" s="171" t="s">
        <v>80</v>
      </c>
      <c r="E894" s="11">
        <v>41244</v>
      </c>
      <c r="H894" t="e">
        <v>#DIV/0!</v>
      </c>
      <c r="K894" t="e">
        <v>#DIV/0!</v>
      </c>
      <c r="M894" t="e">
        <v>#DIV/0!</v>
      </c>
      <c r="R894" t="e">
        <v>#DIV/0!</v>
      </c>
      <c r="T894">
        <v>0.54164274322169059</v>
      </c>
    </row>
    <row r="895" spans="1:20" x14ac:dyDescent="0.3">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x14ac:dyDescent="0.3">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x14ac:dyDescent="0.3">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x14ac:dyDescent="0.3">
      <c r="A898" t="s">
        <v>1815</v>
      </c>
      <c r="B898" s="171" t="s">
        <v>1816</v>
      </c>
      <c r="C898" s="171" t="s">
        <v>134</v>
      </c>
      <c r="D898" s="171" t="s">
        <v>4</v>
      </c>
      <c r="E898" s="11">
        <v>41244</v>
      </c>
      <c r="H898" t="e">
        <v>#DIV/0!</v>
      </c>
      <c r="K898" t="e">
        <v>#DIV/0!</v>
      </c>
      <c r="M898" t="e">
        <v>#DIV/0!</v>
      </c>
      <c r="R898" t="e">
        <v>#DIV/0!</v>
      </c>
      <c r="T898">
        <v>0.8</v>
      </c>
    </row>
    <row r="899" spans="1:20" x14ac:dyDescent="0.3">
      <c r="A899" t="s">
        <v>1817</v>
      </c>
      <c r="B899" s="171" t="s">
        <v>1818</v>
      </c>
      <c r="C899" s="171" t="s">
        <v>137</v>
      </c>
      <c r="D899" s="171" t="s">
        <v>80</v>
      </c>
      <c r="E899" s="11">
        <v>41244</v>
      </c>
      <c r="H899" t="e">
        <v>#DIV/0!</v>
      </c>
      <c r="K899" t="e">
        <v>#DIV/0!</v>
      </c>
      <c r="M899" t="e">
        <v>#DIV/0!</v>
      </c>
      <c r="R899" t="e">
        <v>#DIV/0!</v>
      </c>
      <c r="T899">
        <v>0.9</v>
      </c>
    </row>
    <row r="900" spans="1:20" x14ac:dyDescent="0.3">
      <c r="A900" t="s">
        <v>1819</v>
      </c>
      <c r="B900" s="171" t="s">
        <v>1820</v>
      </c>
      <c r="C900" s="171" t="s">
        <v>140</v>
      </c>
      <c r="D900" s="171" t="s">
        <v>4</v>
      </c>
      <c r="E900" s="11">
        <v>41244</v>
      </c>
      <c r="H900" t="e">
        <v>#DIV/0!</v>
      </c>
      <c r="K900" t="e">
        <v>#DIV/0!</v>
      </c>
      <c r="M900" t="e">
        <v>#DIV/0!</v>
      </c>
      <c r="R900" t="e">
        <v>#DIV/0!</v>
      </c>
    </row>
    <row r="901" spans="1:20" x14ac:dyDescent="0.3">
      <c r="A901" t="s">
        <v>1821</v>
      </c>
      <c r="B901" s="171" t="s">
        <v>1822</v>
      </c>
      <c r="C901" s="171" t="s">
        <v>167</v>
      </c>
      <c r="D901" s="171" t="s">
        <v>80</v>
      </c>
      <c r="E901" s="11">
        <v>41244</v>
      </c>
      <c r="H901" t="e">
        <v>#DIV/0!</v>
      </c>
      <c r="K901" t="e">
        <v>#DIV/0!</v>
      </c>
      <c r="M901" t="e">
        <v>#DIV/0!</v>
      </c>
      <c r="R901" t="e">
        <v>#DIV/0!</v>
      </c>
    </row>
    <row r="902" spans="1:20" x14ac:dyDescent="0.3">
      <c r="A902" t="s">
        <v>1823</v>
      </c>
      <c r="B902" s="171" t="s">
        <v>1824</v>
      </c>
      <c r="C902" s="171" t="s">
        <v>170</v>
      </c>
      <c r="D902" s="171" t="s">
        <v>4</v>
      </c>
      <c r="E902" s="11">
        <v>41244</v>
      </c>
      <c r="H902" t="e">
        <v>#DIV/0!</v>
      </c>
      <c r="K902" t="e">
        <v>#DIV/0!</v>
      </c>
      <c r="M902" t="e">
        <v>#DIV/0!</v>
      </c>
      <c r="R902" t="e">
        <v>#DIV/0!</v>
      </c>
    </row>
    <row r="903" spans="1:20" x14ac:dyDescent="0.3">
      <c r="A903" t="s">
        <v>1825</v>
      </c>
      <c r="B903" s="171" t="s">
        <v>1826</v>
      </c>
      <c r="C903" s="171" t="s">
        <v>179</v>
      </c>
      <c r="D903" s="171" t="s">
        <v>80</v>
      </c>
      <c r="E903" s="11">
        <v>41244</v>
      </c>
      <c r="H903" t="e">
        <v>#DIV/0!</v>
      </c>
      <c r="K903" t="e">
        <v>#DIV/0!</v>
      </c>
      <c r="M903" t="e">
        <v>#DIV/0!</v>
      </c>
      <c r="R903" t="e">
        <v>#DIV/0!</v>
      </c>
      <c r="T903">
        <v>1.2878787878787878</v>
      </c>
    </row>
    <row r="904" spans="1:20" x14ac:dyDescent="0.3">
      <c r="A904" t="s">
        <v>1827</v>
      </c>
      <c r="B904" s="171" t="s">
        <v>1828</v>
      </c>
      <c r="C904" s="171" t="s">
        <v>182</v>
      </c>
      <c r="D904" s="171" t="s">
        <v>4</v>
      </c>
      <c r="E904" s="11">
        <v>41244</v>
      </c>
      <c r="H904" t="e">
        <v>#DIV/0!</v>
      </c>
      <c r="K904" t="e">
        <v>#DIV/0!</v>
      </c>
      <c r="M904" t="e">
        <v>#DIV/0!</v>
      </c>
      <c r="R904" t="e">
        <v>#DIV/0!</v>
      </c>
      <c r="T904">
        <v>1.25</v>
      </c>
    </row>
    <row r="905" spans="1:20" x14ac:dyDescent="0.3">
      <c r="A905" t="s">
        <v>1829</v>
      </c>
      <c r="B905" s="171" t="s">
        <v>1830</v>
      </c>
      <c r="C905" s="171" t="s">
        <v>185</v>
      </c>
      <c r="D905" s="171" t="s">
        <v>80</v>
      </c>
      <c r="E905" s="11">
        <v>41244</v>
      </c>
      <c r="F905">
        <v>3</v>
      </c>
      <c r="G905">
        <v>3</v>
      </c>
      <c r="H905">
        <v>1</v>
      </c>
      <c r="K905" t="e">
        <v>#DIV/0!</v>
      </c>
      <c r="M905" t="e">
        <v>#DIV/0!</v>
      </c>
      <c r="R905" t="e">
        <v>#DIV/0!</v>
      </c>
      <c r="T905">
        <v>0.90909090909090906</v>
      </c>
    </row>
    <row r="906" spans="1:20" x14ac:dyDescent="0.3">
      <c r="A906" t="s">
        <v>1831</v>
      </c>
      <c r="B906" s="171" t="s">
        <v>1832</v>
      </c>
      <c r="C906" s="171" t="s">
        <v>188</v>
      </c>
      <c r="D906" s="171" t="s">
        <v>4</v>
      </c>
      <c r="E906" s="11">
        <v>41244</v>
      </c>
      <c r="F906">
        <v>3</v>
      </c>
      <c r="G906">
        <v>3</v>
      </c>
      <c r="H906">
        <v>1</v>
      </c>
      <c r="K906" t="e">
        <v>#DIV/0!</v>
      </c>
      <c r="M906" t="e">
        <v>#DIV/0!</v>
      </c>
      <c r="R906" t="e">
        <v>#DIV/0!</v>
      </c>
    </row>
    <row r="907" spans="1:20" x14ac:dyDescent="0.3">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x14ac:dyDescent="0.3">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x14ac:dyDescent="0.3">
      <c r="A909" t="s">
        <v>1837</v>
      </c>
      <c r="B909" s="171" t="s">
        <v>1838</v>
      </c>
      <c r="C909" s="171" t="s">
        <v>197</v>
      </c>
      <c r="D909" s="171" t="s">
        <v>4</v>
      </c>
      <c r="E909" s="11">
        <v>41244</v>
      </c>
      <c r="H909" t="e">
        <v>#DIV/0!</v>
      </c>
      <c r="K909" t="e">
        <v>#DIV/0!</v>
      </c>
      <c r="M909" t="e">
        <v>#DIV/0!</v>
      </c>
      <c r="R909" t="e">
        <v>#DIV/0!</v>
      </c>
    </row>
    <row r="910" spans="1:20" x14ac:dyDescent="0.3">
      <c r="A910" t="s">
        <v>1839</v>
      </c>
      <c r="B910" s="171" t="s">
        <v>1840</v>
      </c>
      <c r="C910" s="171" t="s">
        <v>209</v>
      </c>
      <c r="D910" s="171" t="s">
        <v>4</v>
      </c>
      <c r="E910" s="11">
        <v>41244</v>
      </c>
      <c r="H910" t="e">
        <v>#DIV/0!</v>
      </c>
      <c r="K910" t="e">
        <v>#DIV/0!</v>
      </c>
      <c r="M910" t="e">
        <v>#DIV/0!</v>
      </c>
      <c r="R910" t="e">
        <v>#DIV/0!</v>
      </c>
      <c r="T910">
        <v>0.71345029239766078</v>
      </c>
    </row>
    <row r="911" spans="1:20" x14ac:dyDescent="0.3">
      <c r="A911" t="s">
        <v>1841</v>
      </c>
      <c r="B911" s="171" t="s">
        <v>1842</v>
      </c>
      <c r="C911" s="171" t="s">
        <v>212</v>
      </c>
      <c r="D911" s="171" t="s">
        <v>80</v>
      </c>
      <c r="E911" s="11">
        <v>41244</v>
      </c>
      <c r="H911" t="e">
        <v>#DIV/0!</v>
      </c>
      <c r="K911" t="e">
        <v>#DIV/0!</v>
      </c>
      <c r="M911" t="e">
        <v>#DIV/0!</v>
      </c>
      <c r="R911" t="e">
        <v>#DIV/0!</v>
      </c>
    </row>
    <row r="912" spans="1:20" x14ac:dyDescent="0.3">
      <c r="A912" t="s">
        <v>1843</v>
      </c>
      <c r="B912" s="171" t="s">
        <v>1844</v>
      </c>
      <c r="C912" s="171" t="s">
        <v>215</v>
      </c>
      <c r="D912" s="171" t="s">
        <v>80</v>
      </c>
      <c r="E912" s="11">
        <v>41244</v>
      </c>
      <c r="H912" t="e">
        <v>#DIV/0!</v>
      </c>
      <c r="K912" t="e">
        <v>#DIV/0!</v>
      </c>
      <c r="M912" t="e">
        <v>#DIV/0!</v>
      </c>
      <c r="R912" t="e">
        <v>#DIV/0!</v>
      </c>
      <c r="T912">
        <v>1.25</v>
      </c>
    </row>
    <row r="913" spans="1:20" x14ac:dyDescent="0.3">
      <c r="A913" t="s">
        <v>1845</v>
      </c>
      <c r="B913" s="171" t="s">
        <v>1846</v>
      </c>
      <c r="C913" s="171" t="s">
        <v>218</v>
      </c>
      <c r="D913" s="171" t="s">
        <v>4</v>
      </c>
      <c r="E913" s="11">
        <v>41244</v>
      </c>
      <c r="H913" t="e">
        <v>#DIV/0!</v>
      </c>
      <c r="K913" t="e">
        <v>#DIV/0!</v>
      </c>
      <c r="M913" t="e">
        <v>#DIV/0!</v>
      </c>
      <c r="R913" t="e">
        <v>#DIV/0!</v>
      </c>
      <c r="T913">
        <v>0.31578947368421051</v>
      </c>
    </row>
    <row r="914" spans="1:20" x14ac:dyDescent="0.3">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x14ac:dyDescent="0.3">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x14ac:dyDescent="0.3">
      <c r="A917" t="s">
        <v>1853</v>
      </c>
      <c r="B917" s="171" t="s">
        <v>1854</v>
      </c>
      <c r="C917" s="171" t="s">
        <v>143</v>
      </c>
      <c r="D917" s="171" t="s">
        <v>4</v>
      </c>
      <c r="E917" s="11">
        <v>41244</v>
      </c>
      <c r="H917" t="e">
        <v>#DIV/0!</v>
      </c>
      <c r="K917" t="e">
        <v>#DIV/0!</v>
      </c>
      <c r="M917" t="e">
        <v>#DIV/0!</v>
      </c>
      <c r="R917" t="e">
        <v>#DIV/0!</v>
      </c>
    </row>
    <row r="918" spans="1:20" x14ac:dyDescent="0.3">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1857</v>
      </c>
      <c r="B919" s="171" t="s">
        <v>1858</v>
      </c>
      <c r="C919" s="171" t="s">
        <v>149</v>
      </c>
      <c r="D919" s="171" t="s">
        <v>4</v>
      </c>
      <c r="E919" s="11">
        <v>41244</v>
      </c>
      <c r="H919" t="e">
        <v>#DIV/0!</v>
      </c>
      <c r="K919" t="e">
        <v>#DIV/0!</v>
      </c>
      <c r="M919" t="e">
        <v>#DIV/0!</v>
      </c>
      <c r="R919" t="e">
        <v>#DIV/0!</v>
      </c>
      <c r="T919">
        <v>0.91</v>
      </c>
    </row>
    <row r="920" spans="1:20" x14ac:dyDescent="0.3">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1861</v>
      </c>
      <c r="B921" s="171" t="s">
        <v>1862</v>
      </c>
      <c r="C921" s="171" t="s">
        <v>155</v>
      </c>
      <c r="D921" s="171" t="s">
        <v>4</v>
      </c>
      <c r="E921" s="11">
        <v>41244</v>
      </c>
      <c r="F921">
        <v>3</v>
      </c>
      <c r="G921">
        <v>3</v>
      </c>
      <c r="H921">
        <v>1</v>
      </c>
      <c r="J921">
        <v>17</v>
      </c>
      <c r="K921">
        <v>0</v>
      </c>
      <c r="L921">
        <v>27</v>
      </c>
      <c r="M921">
        <v>0.62962962962962965</v>
      </c>
      <c r="R921" t="e">
        <v>#DIV/0!</v>
      </c>
    </row>
    <row r="922" spans="1:20" x14ac:dyDescent="0.3">
      <c r="A922" t="s">
        <v>1863</v>
      </c>
      <c r="B922" s="171" t="s">
        <v>1864</v>
      </c>
      <c r="C922" s="171" t="s">
        <v>158</v>
      </c>
      <c r="D922" s="171" t="s">
        <v>4</v>
      </c>
      <c r="E922" s="11">
        <v>41244</v>
      </c>
      <c r="H922" t="e">
        <v>#DIV/0!</v>
      </c>
      <c r="K922" t="e">
        <v>#DIV/0!</v>
      </c>
      <c r="M922" t="e">
        <v>#DIV/0!</v>
      </c>
      <c r="R922" t="e">
        <v>#DIV/0!</v>
      </c>
    </row>
    <row r="923" spans="1:20" x14ac:dyDescent="0.3">
      <c r="A923" t="s">
        <v>1865</v>
      </c>
      <c r="B923" s="171" t="s">
        <v>1866</v>
      </c>
      <c r="C923" s="171" t="s">
        <v>164</v>
      </c>
      <c r="D923" s="171" t="s">
        <v>4</v>
      </c>
      <c r="E923" s="11">
        <v>41244</v>
      </c>
      <c r="F923">
        <v>1.5</v>
      </c>
      <c r="G923">
        <v>1.5</v>
      </c>
      <c r="H923">
        <v>1</v>
      </c>
      <c r="I923">
        <v>2</v>
      </c>
      <c r="K923" t="e">
        <v>#DIV/0!</v>
      </c>
      <c r="L923">
        <v>14.5</v>
      </c>
      <c r="M923">
        <v>0</v>
      </c>
      <c r="R923" t="e">
        <v>#DIV/0!</v>
      </c>
      <c r="T923">
        <v>0</v>
      </c>
    </row>
    <row r="924" spans="1:20" x14ac:dyDescent="0.3">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x14ac:dyDescent="0.3">
      <c r="A925" t="s">
        <v>1869</v>
      </c>
      <c r="B925" s="171" t="s">
        <v>1870</v>
      </c>
      <c r="C925" s="171" t="s">
        <v>221</v>
      </c>
      <c r="D925" s="171" t="s">
        <v>80</v>
      </c>
      <c r="E925" s="11">
        <v>41244</v>
      </c>
      <c r="F925">
        <v>1</v>
      </c>
      <c r="G925">
        <v>1</v>
      </c>
      <c r="H925">
        <v>1</v>
      </c>
      <c r="I925">
        <v>0</v>
      </c>
      <c r="L925">
        <v>0</v>
      </c>
      <c r="M925" t="e">
        <v>#DIV/0!</v>
      </c>
      <c r="R925" t="e">
        <v>#DIV/0!</v>
      </c>
      <c r="T925">
        <v>1.4333333333333333</v>
      </c>
    </row>
    <row r="926" spans="1:20" x14ac:dyDescent="0.3">
      <c r="A926" t="s">
        <v>1871</v>
      </c>
      <c r="B926" s="171" t="s">
        <v>1872</v>
      </c>
      <c r="C926" s="171" t="s">
        <v>224</v>
      </c>
      <c r="D926" s="171" t="s">
        <v>4</v>
      </c>
      <c r="E926" s="11">
        <v>41244</v>
      </c>
      <c r="H926" t="e">
        <v>#DIV/0!</v>
      </c>
      <c r="K926" t="e">
        <v>#DIV/0!</v>
      </c>
      <c r="M926" t="e">
        <v>#DIV/0!</v>
      </c>
      <c r="R926" t="e">
        <v>#DIV/0!</v>
      </c>
      <c r="T926">
        <v>1.075</v>
      </c>
    </row>
    <row r="927" spans="1:20" x14ac:dyDescent="0.3">
      <c r="A927" t="s">
        <v>1873</v>
      </c>
      <c r="B927" s="171" t="s">
        <v>1874</v>
      </c>
      <c r="C927" s="171" t="s">
        <v>227</v>
      </c>
      <c r="D927" s="171" t="s">
        <v>4</v>
      </c>
      <c r="E927" s="11">
        <v>41244</v>
      </c>
      <c r="F927">
        <v>1</v>
      </c>
      <c r="G927">
        <v>1</v>
      </c>
      <c r="H927">
        <v>1</v>
      </c>
      <c r="K927" t="e">
        <v>#DIV/0!</v>
      </c>
      <c r="M927" t="e">
        <v>#DIV/0!</v>
      </c>
      <c r="R927" t="e">
        <v>#DIV/0!</v>
      </c>
    </row>
    <row r="928" spans="1:20" x14ac:dyDescent="0.3">
      <c r="A928" t="s">
        <v>1875</v>
      </c>
      <c r="B928" s="171" t="s">
        <v>1876</v>
      </c>
      <c r="C928" s="171" t="s">
        <v>230</v>
      </c>
      <c r="D928" s="171" t="s">
        <v>4</v>
      </c>
      <c r="E928" s="11">
        <v>41244</v>
      </c>
      <c r="H928" t="e">
        <v>#DIV/0!</v>
      </c>
      <c r="K928" t="e">
        <v>#DIV/0!</v>
      </c>
      <c r="M928" t="e">
        <v>#DIV/0!</v>
      </c>
      <c r="R928" t="e">
        <v>#DIV/0!</v>
      </c>
      <c r="T928">
        <v>0.63500000000000001</v>
      </c>
    </row>
    <row r="929" spans="1:20" x14ac:dyDescent="0.3">
      <c r="A929" t="s">
        <v>1877</v>
      </c>
      <c r="B929" s="171" t="s">
        <v>1878</v>
      </c>
      <c r="C929" s="171" t="s">
        <v>73</v>
      </c>
      <c r="D929" s="171" t="s">
        <v>4</v>
      </c>
      <c r="E929" s="11">
        <v>41275</v>
      </c>
      <c r="F929">
        <v>4</v>
      </c>
      <c r="G929">
        <v>2.5</v>
      </c>
      <c r="H929">
        <v>1.6</v>
      </c>
      <c r="K929" t="e">
        <v>#DIV/0!</v>
      </c>
      <c r="L929">
        <v>14.5</v>
      </c>
      <c r="M929">
        <v>0</v>
      </c>
      <c r="R929" t="e">
        <v>#DIV/0!</v>
      </c>
      <c r="T929">
        <v>0.48</v>
      </c>
    </row>
    <row r="930" spans="1:20" x14ac:dyDescent="0.3">
      <c r="A930" t="s">
        <v>1879</v>
      </c>
      <c r="B930" s="171" t="s">
        <v>1880</v>
      </c>
      <c r="C930" s="171" t="s">
        <v>76</v>
      </c>
      <c r="D930" s="171" t="s">
        <v>4</v>
      </c>
      <c r="E930" s="11">
        <v>41275</v>
      </c>
      <c r="F930">
        <v>4</v>
      </c>
      <c r="G930">
        <v>2.5</v>
      </c>
      <c r="H930">
        <v>1.6</v>
      </c>
      <c r="K930" t="e">
        <v>#DIV/0!</v>
      </c>
      <c r="L930">
        <v>14.5</v>
      </c>
      <c r="M930">
        <v>0</v>
      </c>
      <c r="R930" t="e">
        <v>#DIV/0!</v>
      </c>
      <c r="T930">
        <v>0.79</v>
      </c>
    </row>
    <row r="931" spans="1:20" x14ac:dyDescent="0.3">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x14ac:dyDescent="0.3">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x14ac:dyDescent="0.3">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x14ac:dyDescent="0.3">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x14ac:dyDescent="0.3">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x14ac:dyDescent="0.3">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x14ac:dyDescent="0.3">
      <c r="A942" t="s">
        <v>1903</v>
      </c>
      <c r="B942" s="171" t="s">
        <v>1904</v>
      </c>
      <c r="C942" s="171" t="s">
        <v>113</v>
      </c>
      <c r="D942" s="171" t="s">
        <v>80</v>
      </c>
      <c r="E942" s="11">
        <v>41275</v>
      </c>
      <c r="F942">
        <v>6</v>
      </c>
      <c r="G942">
        <v>4</v>
      </c>
      <c r="H942">
        <v>1.5</v>
      </c>
      <c r="K942" t="e">
        <v>#DIV/0!</v>
      </c>
      <c r="L942">
        <v>20</v>
      </c>
      <c r="M942">
        <v>0</v>
      </c>
      <c r="R942">
        <v>0</v>
      </c>
      <c r="T942">
        <v>0.18</v>
      </c>
    </row>
    <row r="943" spans="1:20" x14ac:dyDescent="0.3">
      <c r="A943" t="s">
        <v>1905</v>
      </c>
      <c r="B943" s="171" t="s">
        <v>1906</v>
      </c>
      <c r="C943" s="171" t="s">
        <v>116</v>
      </c>
      <c r="D943" s="171" t="s">
        <v>80</v>
      </c>
      <c r="E943" s="11">
        <v>41275</v>
      </c>
      <c r="H943" t="e">
        <v>#DIV/0!</v>
      </c>
      <c r="K943" t="e">
        <v>#DIV/0!</v>
      </c>
      <c r="M943" t="e">
        <v>#DIV/0!</v>
      </c>
      <c r="R943" t="e">
        <v>#DIV/0!</v>
      </c>
      <c r="T943">
        <v>0.18</v>
      </c>
    </row>
    <row r="944" spans="1:20" x14ac:dyDescent="0.3">
      <c r="A944" t="s">
        <v>1907</v>
      </c>
      <c r="B944" s="171" t="s">
        <v>1908</v>
      </c>
      <c r="C944" s="171" t="s">
        <v>119</v>
      </c>
      <c r="D944" s="171" t="s">
        <v>80</v>
      </c>
      <c r="E944" s="11">
        <v>41275</v>
      </c>
      <c r="H944" t="e">
        <v>#DIV/0!</v>
      </c>
      <c r="K944" t="e">
        <v>#DIV/0!</v>
      </c>
      <c r="M944" t="e">
        <v>#DIV/0!</v>
      </c>
      <c r="R944" t="e">
        <v>#DIV/0!</v>
      </c>
      <c r="T944">
        <v>0</v>
      </c>
    </row>
    <row r="945" spans="1:20" x14ac:dyDescent="0.3">
      <c r="A945" t="s">
        <v>1909</v>
      </c>
      <c r="B945" s="171" t="s">
        <v>1910</v>
      </c>
      <c r="C945" s="171" t="s">
        <v>122</v>
      </c>
      <c r="D945" s="171" t="s">
        <v>4</v>
      </c>
      <c r="E945" s="11">
        <v>41275</v>
      </c>
      <c r="H945" t="e">
        <v>#DIV/0!</v>
      </c>
      <c r="K945" t="e">
        <v>#DIV/0!</v>
      </c>
      <c r="M945" t="e">
        <v>#DIV/0!</v>
      </c>
      <c r="R945" t="e">
        <v>#DIV/0!</v>
      </c>
      <c r="T945">
        <v>0.41833333333333328</v>
      </c>
    </row>
    <row r="946" spans="1:20" x14ac:dyDescent="0.3">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x14ac:dyDescent="0.3">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x14ac:dyDescent="0.3">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x14ac:dyDescent="0.3">
      <c r="A949" t="s">
        <v>1917</v>
      </c>
      <c r="B949" s="171" t="s">
        <v>1918</v>
      </c>
      <c r="C949" s="171" t="s">
        <v>134</v>
      </c>
      <c r="D949" s="171" t="s">
        <v>80</v>
      </c>
      <c r="E949" s="11">
        <v>41275</v>
      </c>
      <c r="H949" t="e">
        <v>#DIV/0!</v>
      </c>
      <c r="K949" t="e">
        <v>#DIV/0!</v>
      </c>
      <c r="M949" t="e">
        <v>#DIV/0!</v>
      </c>
      <c r="R949" t="e">
        <v>#DIV/0!</v>
      </c>
      <c r="T949">
        <v>0.625</v>
      </c>
    </row>
    <row r="950" spans="1:20" x14ac:dyDescent="0.3">
      <c r="A950" t="s">
        <v>1919</v>
      </c>
      <c r="B950" s="171" t="s">
        <v>1920</v>
      </c>
      <c r="C950" s="171" t="s">
        <v>137</v>
      </c>
      <c r="D950" s="171" t="s">
        <v>4</v>
      </c>
      <c r="E950" s="11">
        <v>41275</v>
      </c>
      <c r="H950" t="e">
        <v>#DIV/0!</v>
      </c>
      <c r="K950" t="e">
        <v>#DIV/0!</v>
      </c>
      <c r="M950" t="e">
        <v>#DIV/0!</v>
      </c>
      <c r="R950" t="e">
        <v>#DIV/0!</v>
      </c>
      <c r="T950">
        <v>0.42648018648018643</v>
      </c>
    </row>
    <row r="951" spans="1:20" x14ac:dyDescent="0.3">
      <c r="A951" t="s">
        <v>1921</v>
      </c>
      <c r="B951" s="171" t="s">
        <v>1922</v>
      </c>
      <c r="C951" s="171" t="s">
        <v>140</v>
      </c>
      <c r="D951" s="171" t="s">
        <v>80</v>
      </c>
      <c r="E951" s="11">
        <v>41275</v>
      </c>
      <c r="H951" t="e">
        <v>#DIV/0!</v>
      </c>
      <c r="K951" t="e">
        <v>#DIV/0!</v>
      </c>
      <c r="M951" t="e">
        <v>#DIV/0!</v>
      </c>
      <c r="R951" t="e">
        <v>#DIV/0!</v>
      </c>
      <c r="T951">
        <v>0</v>
      </c>
    </row>
    <row r="952" spans="1:20" x14ac:dyDescent="0.3">
      <c r="A952" t="s">
        <v>1923</v>
      </c>
      <c r="B952" s="171" t="s">
        <v>1924</v>
      </c>
      <c r="C952" s="171" t="s">
        <v>143</v>
      </c>
      <c r="D952" s="171" t="s">
        <v>80</v>
      </c>
      <c r="E952" s="11">
        <v>41275</v>
      </c>
      <c r="H952" t="e">
        <v>#DIV/0!</v>
      </c>
      <c r="K952" t="e">
        <v>#DIV/0!</v>
      </c>
      <c r="M952" t="e">
        <v>#DIV/0!</v>
      </c>
      <c r="R952" t="e">
        <v>#DIV/0!</v>
      </c>
      <c r="T952">
        <v>0.74780225330225336</v>
      </c>
    </row>
    <row r="953" spans="1:20" x14ac:dyDescent="0.3">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1927</v>
      </c>
      <c r="B954" s="171" t="s">
        <v>1928</v>
      </c>
      <c r="C954" s="171" t="s">
        <v>149</v>
      </c>
      <c r="D954" s="171" t="s">
        <v>80</v>
      </c>
      <c r="E954" s="11">
        <v>41275</v>
      </c>
      <c r="H954" t="e">
        <v>#DIV/0!</v>
      </c>
      <c r="K954" t="e">
        <v>#DIV/0!</v>
      </c>
      <c r="M954" t="e">
        <v>#DIV/0!</v>
      </c>
      <c r="R954" t="e">
        <v>#DIV/0!</v>
      </c>
      <c r="T954">
        <v>0.89999999999999991</v>
      </c>
    </row>
    <row r="955" spans="1:20" x14ac:dyDescent="0.3">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1931</v>
      </c>
      <c r="B956" s="171" t="s">
        <v>1932</v>
      </c>
      <c r="C956" s="171" t="s">
        <v>155</v>
      </c>
      <c r="D956" s="171" t="s">
        <v>80</v>
      </c>
      <c r="E956" s="11">
        <v>41275</v>
      </c>
      <c r="F956">
        <v>3</v>
      </c>
      <c r="G956">
        <v>3</v>
      </c>
      <c r="H956">
        <v>1</v>
      </c>
      <c r="J956">
        <v>17</v>
      </c>
      <c r="K956">
        <v>0</v>
      </c>
      <c r="L956">
        <v>27</v>
      </c>
      <c r="M956">
        <v>0.62962962962962965</v>
      </c>
      <c r="R956" t="e">
        <v>#DIV/0!</v>
      </c>
    </row>
    <row r="957" spans="1:20" x14ac:dyDescent="0.3">
      <c r="A957" t="s">
        <v>1933</v>
      </c>
      <c r="B957" s="171" t="s">
        <v>1934</v>
      </c>
      <c r="C957" s="171" t="s">
        <v>158</v>
      </c>
      <c r="D957" s="171" t="s">
        <v>80</v>
      </c>
      <c r="E957" s="11">
        <v>41275</v>
      </c>
      <c r="H957" t="e">
        <v>#DIV/0!</v>
      </c>
      <c r="K957" t="e">
        <v>#DIV/0!</v>
      </c>
      <c r="M957" t="e">
        <v>#DIV/0!</v>
      </c>
      <c r="R957" t="e">
        <v>#DIV/0!</v>
      </c>
    </row>
    <row r="958" spans="1:20" x14ac:dyDescent="0.3">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x14ac:dyDescent="0.3">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x14ac:dyDescent="0.3">
      <c r="A960" t="s">
        <v>1939</v>
      </c>
      <c r="B960" s="171" t="s">
        <v>1940</v>
      </c>
      <c r="C960" s="171" t="s">
        <v>167</v>
      </c>
      <c r="D960" s="171" t="s">
        <v>4</v>
      </c>
      <c r="E960" s="11">
        <v>41275</v>
      </c>
      <c r="H960" t="e">
        <v>#DIV/0!</v>
      </c>
      <c r="K960" t="e">
        <v>#DIV/0!</v>
      </c>
      <c r="M960" t="e">
        <v>#DIV/0!</v>
      </c>
      <c r="R960" t="e">
        <v>#DIV/0!</v>
      </c>
      <c r="T960">
        <v>1.125</v>
      </c>
    </row>
    <row r="961" spans="1:20" x14ac:dyDescent="0.3">
      <c r="A961" t="s">
        <v>1941</v>
      </c>
      <c r="B961" s="171" t="s">
        <v>1942</v>
      </c>
      <c r="C961" s="171" t="s">
        <v>170</v>
      </c>
      <c r="D961" s="171" t="s">
        <v>80</v>
      </c>
      <c r="E961" s="11">
        <v>41275</v>
      </c>
      <c r="H961" t="e">
        <v>#DIV/0!</v>
      </c>
      <c r="K961" t="e">
        <v>#DIV/0!</v>
      </c>
      <c r="M961" t="e">
        <v>#DIV/0!</v>
      </c>
      <c r="R961" t="e">
        <v>#DIV/0!</v>
      </c>
      <c r="T961">
        <v>0.8666666666666667</v>
      </c>
    </row>
    <row r="962" spans="1:20" x14ac:dyDescent="0.3">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x14ac:dyDescent="0.3">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x14ac:dyDescent="0.3">
      <c r="A964" t="s">
        <v>1947</v>
      </c>
      <c r="B964" s="171" t="s">
        <v>1948</v>
      </c>
      <c r="C964" s="171" t="s">
        <v>179</v>
      </c>
      <c r="D964" s="171" t="s">
        <v>4</v>
      </c>
      <c r="E964" s="11">
        <v>41275</v>
      </c>
      <c r="H964" t="e">
        <v>#DIV/0!</v>
      </c>
      <c r="K964" t="e">
        <v>#DIV/0!</v>
      </c>
      <c r="M964" t="e">
        <v>#DIV/0!</v>
      </c>
      <c r="R964" t="e">
        <v>#DIV/0!</v>
      </c>
    </row>
    <row r="965" spans="1:20" x14ac:dyDescent="0.3">
      <c r="A965" t="s">
        <v>1949</v>
      </c>
      <c r="B965" s="171" t="s">
        <v>1950</v>
      </c>
      <c r="C965" s="171" t="s">
        <v>182</v>
      </c>
      <c r="D965" s="171" t="s">
        <v>80</v>
      </c>
      <c r="E965" s="11">
        <v>41275</v>
      </c>
      <c r="H965" t="e">
        <v>#DIV/0!</v>
      </c>
      <c r="K965" t="e">
        <v>#DIV/0!</v>
      </c>
      <c r="M965" t="e">
        <v>#DIV/0!</v>
      </c>
      <c r="R965" t="e">
        <v>#DIV/0!</v>
      </c>
    </row>
    <row r="966" spans="1:20" x14ac:dyDescent="0.3">
      <c r="A966" t="s">
        <v>1951</v>
      </c>
      <c r="B966" s="171" t="s">
        <v>1952</v>
      </c>
      <c r="C966" s="171" t="s">
        <v>185</v>
      </c>
      <c r="D966" s="171" t="s">
        <v>4</v>
      </c>
      <c r="E966" s="11">
        <v>41275</v>
      </c>
      <c r="F966">
        <v>3</v>
      </c>
      <c r="G966">
        <v>3</v>
      </c>
      <c r="H966">
        <v>1</v>
      </c>
      <c r="K966" t="e">
        <v>#DIV/0!</v>
      </c>
      <c r="M966" t="e">
        <v>#DIV/0!</v>
      </c>
      <c r="R966" t="e">
        <v>#DIV/0!</v>
      </c>
      <c r="T966">
        <v>0.65333333333333343</v>
      </c>
    </row>
    <row r="967" spans="1:20" x14ac:dyDescent="0.3">
      <c r="A967" t="s">
        <v>1953</v>
      </c>
      <c r="B967" s="171" t="s">
        <v>1954</v>
      </c>
      <c r="C967" s="171" t="s">
        <v>188</v>
      </c>
      <c r="D967" s="171" t="s">
        <v>80</v>
      </c>
      <c r="E967" s="11">
        <v>41275</v>
      </c>
      <c r="F967">
        <v>3</v>
      </c>
      <c r="G967">
        <v>3</v>
      </c>
      <c r="H967">
        <v>1</v>
      </c>
      <c r="K967" t="e">
        <v>#DIV/0!</v>
      </c>
      <c r="M967" t="e">
        <v>#DIV/0!</v>
      </c>
      <c r="R967" t="e">
        <v>#DIV/0!</v>
      </c>
    </row>
    <row r="968" spans="1:20" x14ac:dyDescent="0.3">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x14ac:dyDescent="0.3">
      <c r="A970" t="s">
        <v>1959</v>
      </c>
      <c r="B970" s="171" t="s">
        <v>1960</v>
      </c>
      <c r="C970" s="171" t="s">
        <v>197</v>
      </c>
      <c r="D970" s="171" t="s">
        <v>80</v>
      </c>
      <c r="E970" s="11">
        <v>41275</v>
      </c>
      <c r="H970" t="e">
        <v>#DIV/0!</v>
      </c>
      <c r="K970" t="e">
        <v>#DIV/0!</v>
      </c>
      <c r="M970" t="e">
        <v>#DIV/0!</v>
      </c>
      <c r="R970" t="e">
        <v>#DIV/0!</v>
      </c>
    </row>
    <row r="971" spans="1:20" x14ac:dyDescent="0.3">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x14ac:dyDescent="0.3">
      <c r="A972" t="s">
        <v>1963</v>
      </c>
      <c r="B972" s="171" t="s">
        <v>1964</v>
      </c>
      <c r="C972" s="171" t="s">
        <v>203</v>
      </c>
      <c r="D972" s="171" t="s">
        <v>80</v>
      </c>
      <c r="E972" s="11">
        <v>41275</v>
      </c>
      <c r="H972" t="e">
        <v>#DIV/0!</v>
      </c>
      <c r="K972" t="e">
        <v>#DIV/0!</v>
      </c>
      <c r="M972" t="e">
        <v>#DIV/0!</v>
      </c>
      <c r="R972" t="e">
        <v>#DIV/0!</v>
      </c>
      <c r="T972">
        <v>0.71</v>
      </c>
    </row>
    <row r="973" spans="1:20" x14ac:dyDescent="0.3">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x14ac:dyDescent="0.3">
      <c r="A974" t="s">
        <v>1967</v>
      </c>
      <c r="B974" s="171" t="s">
        <v>1968</v>
      </c>
      <c r="C974" s="171" t="s">
        <v>209</v>
      </c>
      <c r="D974" s="171" t="s">
        <v>80</v>
      </c>
      <c r="E974" s="11">
        <v>41275</v>
      </c>
      <c r="H974" t="e">
        <v>#DIV/0!</v>
      </c>
      <c r="K974" t="e">
        <v>#DIV/0!</v>
      </c>
      <c r="M974" t="e">
        <v>#DIV/0!</v>
      </c>
      <c r="R974" t="e">
        <v>#DIV/0!</v>
      </c>
    </row>
    <row r="975" spans="1:20" x14ac:dyDescent="0.3">
      <c r="A975" t="s">
        <v>1969</v>
      </c>
      <c r="B975" s="171" t="s">
        <v>1970</v>
      </c>
      <c r="C975" s="171" t="s">
        <v>212</v>
      </c>
      <c r="D975" s="171" t="s">
        <v>4</v>
      </c>
      <c r="E975" s="11">
        <v>41275</v>
      </c>
      <c r="H975" t="e">
        <v>#DIV/0!</v>
      </c>
      <c r="K975" t="e">
        <v>#DIV/0!</v>
      </c>
      <c r="M975" t="e">
        <v>#DIV/0!</v>
      </c>
      <c r="R975" t="e">
        <v>#DIV/0!</v>
      </c>
      <c r="T975">
        <v>1</v>
      </c>
    </row>
    <row r="976" spans="1:20" x14ac:dyDescent="0.3">
      <c r="A976" t="s">
        <v>1971</v>
      </c>
      <c r="B976" s="171" t="s">
        <v>1972</v>
      </c>
      <c r="C976" s="171" t="s">
        <v>215</v>
      </c>
      <c r="D976" s="171" t="s">
        <v>4</v>
      </c>
      <c r="E976" s="11">
        <v>41275</v>
      </c>
      <c r="H976" t="e">
        <v>#DIV/0!</v>
      </c>
      <c r="K976" t="e">
        <v>#DIV/0!</v>
      </c>
      <c r="M976" t="e">
        <v>#DIV/0!</v>
      </c>
      <c r="R976" t="e">
        <v>#DIV/0!</v>
      </c>
      <c r="T976">
        <v>1</v>
      </c>
    </row>
    <row r="977" spans="1:20" x14ac:dyDescent="0.3">
      <c r="A977" t="s">
        <v>1973</v>
      </c>
      <c r="B977" s="171" t="s">
        <v>1974</v>
      </c>
      <c r="C977" s="171" t="s">
        <v>218</v>
      </c>
      <c r="D977" s="171" t="s">
        <v>80</v>
      </c>
      <c r="E977" s="11">
        <v>41275</v>
      </c>
      <c r="H977" t="e">
        <v>#DIV/0!</v>
      </c>
      <c r="K977" t="e">
        <v>#DIV/0!</v>
      </c>
      <c r="M977" t="e">
        <v>#DIV/0!</v>
      </c>
      <c r="R977" t="e">
        <v>#DIV/0!</v>
      </c>
    </row>
    <row r="978" spans="1:20" x14ac:dyDescent="0.3">
      <c r="A978" t="s">
        <v>1975</v>
      </c>
      <c r="B978" s="171" t="s">
        <v>1976</v>
      </c>
      <c r="C978" s="171" t="s">
        <v>221</v>
      </c>
      <c r="D978" s="171" t="s">
        <v>4</v>
      </c>
      <c r="E978" s="11">
        <v>41275</v>
      </c>
      <c r="F978">
        <v>1</v>
      </c>
      <c r="G978">
        <v>1</v>
      </c>
      <c r="H978">
        <v>1</v>
      </c>
      <c r="I978">
        <v>0</v>
      </c>
      <c r="L978">
        <v>0</v>
      </c>
      <c r="M978" t="e">
        <v>#DIV/0!</v>
      </c>
      <c r="R978" t="e">
        <v>#DIV/0!</v>
      </c>
    </row>
    <row r="979" spans="1:20" x14ac:dyDescent="0.3">
      <c r="A979" t="s">
        <v>1977</v>
      </c>
      <c r="B979" s="171" t="s">
        <v>1978</v>
      </c>
      <c r="C979" s="171" t="s">
        <v>224</v>
      </c>
      <c r="D979" s="171" t="s">
        <v>80</v>
      </c>
      <c r="E979" s="11">
        <v>41275</v>
      </c>
      <c r="H979" t="e">
        <v>#DIV/0!</v>
      </c>
      <c r="K979" t="e">
        <v>#DIV/0!</v>
      </c>
      <c r="M979" t="e">
        <v>#DIV/0!</v>
      </c>
      <c r="R979" t="e">
        <v>#DIV/0!</v>
      </c>
      <c r="T979">
        <v>0</v>
      </c>
    </row>
    <row r="980" spans="1:20" x14ac:dyDescent="0.3">
      <c r="A980" t="s">
        <v>1979</v>
      </c>
      <c r="B980" s="171" t="s">
        <v>1980</v>
      </c>
      <c r="C980" s="171" t="s">
        <v>227</v>
      </c>
      <c r="D980" s="171" t="s">
        <v>80</v>
      </c>
      <c r="E980" s="11">
        <v>41275</v>
      </c>
      <c r="F980">
        <v>1</v>
      </c>
      <c r="G980">
        <v>1</v>
      </c>
      <c r="H980">
        <v>1</v>
      </c>
      <c r="K980" t="e">
        <v>#DIV/0!</v>
      </c>
      <c r="M980" t="e">
        <v>#DIV/0!</v>
      </c>
      <c r="R980" t="e">
        <v>#DIV/0!</v>
      </c>
      <c r="T980">
        <v>0</v>
      </c>
    </row>
    <row r="981" spans="1:20" x14ac:dyDescent="0.3">
      <c r="A981" t="s">
        <v>1981</v>
      </c>
      <c r="B981" s="171" t="s">
        <v>1982</v>
      </c>
      <c r="C981" s="171" t="s">
        <v>230</v>
      </c>
      <c r="D981" s="171" t="s">
        <v>80</v>
      </c>
      <c r="E981" s="11">
        <v>41275</v>
      </c>
      <c r="H981" t="e">
        <v>#DIV/0!</v>
      </c>
      <c r="K981" t="e">
        <v>#DIV/0!</v>
      </c>
      <c r="M981" t="e">
        <v>#DIV/0!</v>
      </c>
      <c r="R981" t="e">
        <v>#DIV/0!</v>
      </c>
      <c r="T981">
        <v>1.0666666666666667</v>
      </c>
    </row>
    <row r="982" spans="1:20" x14ac:dyDescent="0.3">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x14ac:dyDescent="0.3">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x14ac:dyDescent="0.3">
      <c r="A984" t="s">
        <v>1987</v>
      </c>
      <c r="B984" s="171" t="s">
        <v>1988</v>
      </c>
      <c r="C984" s="171" t="s">
        <v>239</v>
      </c>
      <c r="D984" s="171" t="s">
        <v>80</v>
      </c>
      <c r="E984" s="11">
        <v>41275</v>
      </c>
      <c r="F984">
        <v>0.75</v>
      </c>
      <c r="G984">
        <v>5</v>
      </c>
      <c r="H984">
        <v>0.15</v>
      </c>
      <c r="I984">
        <v>5</v>
      </c>
      <c r="L984">
        <v>9</v>
      </c>
      <c r="M984">
        <v>0</v>
      </c>
      <c r="R984" t="e">
        <v>#DIV/0!</v>
      </c>
      <c r="T984">
        <v>0.37545454545454543</v>
      </c>
    </row>
    <row r="985" spans="1:20" x14ac:dyDescent="0.3">
      <c r="A985" t="s">
        <v>1989</v>
      </c>
      <c r="B985" s="171" t="s">
        <v>1990</v>
      </c>
      <c r="C985" s="171" t="s">
        <v>76</v>
      </c>
      <c r="D985" s="171" t="s">
        <v>80</v>
      </c>
      <c r="E985" s="11">
        <v>41275</v>
      </c>
      <c r="F985">
        <v>4</v>
      </c>
      <c r="G985">
        <v>2.5</v>
      </c>
      <c r="H985">
        <v>1.6</v>
      </c>
      <c r="K985" t="e">
        <v>#DIV/0!</v>
      </c>
      <c r="L985">
        <v>14.5</v>
      </c>
      <c r="M985">
        <v>0</v>
      </c>
      <c r="R985" t="e">
        <v>#DIV/0!</v>
      </c>
      <c r="T985">
        <v>0.48</v>
      </c>
    </row>
    <row r="986" spans="1:20" x14ac:dyDescent="0.3">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x14ac:dyDescent="0.3">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x14ac:dyDescent="0.3">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x14ac:dyDescent="0.3">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x14ac:dyDescent="0.3">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x14ac:dyDescent="0.3">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x14ac:dyDescent="0.3">
      <c r="A994" t="s">
        <v>2007</v>
      </c>
      <c r="B994" s="171" t="s">
        <v>2008</v>
      </c>
      <c r="C994" s="171" t="s">
        <v>113</v>
      </c>
      <c r="D994" s="171" t="s">
        <v>4</v>
      </c>
      <c r="E994" s="11">
        <v>41275</v>
      </c>
      <c r="F994">
        <v>6</v>
      </c>
      <c r="G994">
        <v>4</v>
      </c>
      <c r="H994">
        <v>1.5</v>
      </c>
      <c r="K994" t="e">
        <v>#DIV/0!</v>
      </c>
      <c r="L994">
        <v>20</v>
      </c>
      <c r="M994">
        <v>0</v>
      </c>
      <c r="R994">
        <v>0</v>
      </c>
    </row>
    <row r="995" spans="1:20" x14ac:dyDescent="0.3">
      <c r="A995" t="s">
        <v>2009</v>
      </c>
      <c r="B995" s="171" t="s">
        <v>2010</v>
      </c>
      <c r="C995" s="171" t="s">
        <v>116</v>
      </c>
      <c r="D995" s="171" t="s">
        <v>4</v>
      </c>
      <c r="E995" s="11">
        <v>41275</v>
      </c>
      <c r="H995" t="e">
        <v>#DIV/0!</v>
      </c>
      <c r="K995" t="e">
        <v>#DIV/0!</v>
      </c>
      <c r="M995" t="e">
        <v>#DIV/0!</v>
      </c>
      <c r="R995" t="e">
        <v>#DIV/0!</v>
      </c>
      <c r="T995">
        <v>0.80121428571428577</v>
      </c>
    </row>
    <row r="996" spans="1:20" x14ac:dyDescent="0.3">
      <c r="A996" t="s">
        <v>2011</v>
      </c>
      <c r="B996" s="171" t="s">
        <v>2012</v>
      </c>
      <c r="C996" s="171" t="s">
        <v>119</v>
      </c>
      <c r="D996" s="171" t="s">
        <v>4</v>
      </c>
      <c r="E996" s="11">
        <v>41275</v>
      </c>
      <c r="H996" t="e">
        <v>#DIV/0!</v>
      </c>
      <c r="K996" t="e">
        <v>#DIV/0!</v>
      </c>
      <c r="M996" t="e">
        <v>#DIV/0!</v>
      </c>
      <c r="R996" t="e">
        <v>#DIV/0!</v>
      </c>
      <c r="T996">
        <v>0.77700000000000002</v>
      </c>
    </row>
    <row r="997" spans="1:20" x14ac:dyDescent="0.3">
      <c r="A997" t="s">
        <v>2013</v>
      </c>
      <c r="B997" s="171" t="s">
        <v>2014</v>
      </c>
      <c r="C997" s="171" t="s">
        <v>122</v>
      </c>
      <c r="D997" s="171" t="s">
        <v>80</v>
      </c>
      <c r="E997" s="11">
        <v>41275</v>
      </c>
      <c r="H997" t="e">
        <v>#DIV/0!</v>
      </c>
      <c r="K997" t="e">
        <v>#DIV/0!</v>
      </c>
      <c r="M997" t="e">
        <v>#DIV/0!</v>
      </c>
      <c r="R997" t="e">
        <v>#DIV/0!</v>
      </c>
      <c r="T997">
        <v>0.89</v>
      </c>
    </row>
    <row r="998" spans="1:20" x14ac:dyDescent="0.3">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x14ac:dyDescent="0.3">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x14ac:dyDescent="0.3">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x14ac:dyDescent="0.3">
      <c r="A1001" t="s">
        <v>2021</v>
      </c>
      <c r="B1001" s="171" t="s">
        <v>2022</v>
      </c>
      <c r="C1001" s="171" t="s">
        <v>134</v>
      </c>
      <c r="D1001" s="171" t="s">
        <v>4</v>
      </c>
      <c r="E1001" s="11">
        <v>41275</v>
      </c>
      <c r="H1001" t="e">
        <v>#DIV/0!</v>
      </c>
      <c r="K1001" t="e">
        <v>#DIV/0!</v>
      </c>
      <c r="M1001" t="e">
        <v>#DIV/0!</v>
      </c>
      <c r="R1001" t="e">
        <v>#DIV/0!</v>
      </c>
      <c r="T1001">
        <v>0</v>
      </c>
    </row>
    <row r="1002" spans="1:20" x14ac:dyDescent="0.3">
      <c r="A1002" t="s">
        <v>2023</v>
      </c>
      <c r="B1002" s="171" t="s">
        <v>2024</v>
      </c>
      <c r="C1002" s="171" t="s">
        <v>137</v>
      </c>
      <c r="D1002" s="171" t="s">
        <v>80</v>
      </c>
      <c r="E1002" s="11">
        <v>41275</v>
      </c>
      <c r="H1002" t="e">
        <v>#DIV/0!</v>
      </c>
      <c r="K1002" t="e">
        <v>#DIV/0!</v>
      </c>
      <c r="M1002" t="e">
        <v>#DIV/0!</v>
      </c>
      <c r="R1002" t="e">
        <v>#DIV/0!</v>
      </c>
      <c r="T1002">
        <v>0.94374999999999998</v>
      </c>
    </row>
    <row r="1003" spans="1:20" x14ac:dyDescent="0.3">
      <c r="A1003" t="s">
        <v>2025</v>
      </c>
      <c r="B1003" s="171" t="s">
        <v>2026</v>
      </c>
      <c r="C1003" s="171" t="s">
        <v>140</v>
      </c>
      <c r="D1003" s="171" t="s">
        <v>4</v>
      </c>
      <c r="E1003" s="11">
        <v>41275</v>
      </c>
      <c r="H1003" t="e">
        <v>#DIV/0!</v>
      </c>
      <c r="K1003" t="e">
        <v>#DIV/0!</v>
      </c>
      <c r="M1003" t="e">
        <v>#DIV/0!</v>
      </c>
      <c r="R1003" t="e">
        <v>#DIV/0!</v>
      </c>
      <c r="T1003">
        <v>0.81945000000000001</v>
      </c>
    </row>
    <row r="1004" spans="1:20" x14ac:dyDescent="0.3">
      <c r="A1004" t="s">
        <v>2027</v>
      </c>
      <c r="B1004" s="171" t="s">
        <v>2028</v>
      </c>
      <c r="C1004" s="171" t="s">
        <v>167</v>
      </c>
      <c r="D1004" s="171" t="s">
        <v>80</v>
      </c>
      <c r="E1004" s="11">
        <v>41275</v>
      </c>
      <c r="H1004" t="e">
        <v>#DIV/0!</v>
      </c>
      <c r="K1004" t="e">
        <v>#DIV/0!</v>
      </c>
      <c r="M1004" t="e">
        <v>#DIV/0!</v>
      </c>
      <c r="R1004" t="e">
        <v>#DIV/0!</v>
      </c>
      <c r="T1004">
        <v>1</v>
      </c>
    </row>
    <row r="1005" spans="1:20" x14ac:dyDescent="0.3">
      <c r="A1005" t="s">
        <v>2029</v>
      </c>
      <c r="B1005" s="171" t="s">
        <v>2030</v>
      </c>
      <c r="C1005" s="171" t="s">
        <v>170</v>
      </c>
      <c r="D1005" s="171" t="s">
        <v>4</v>
      </c>
      <c r="E1005" s="11">
        <v>41275</v>
      </c>
      <c r="H1005" t="e">
        <v>#DIV/0!</v>
      </c>
      <c r="K1005" t="e">
        <v>#DIV/0!</v>
      </c>
      <c r="M1005" t="e">
        <v>#DIV/0!</v>
      </c>
      <c r="R1005" t="e">
        <v>#DIV/0!</v>
      </c>
      <c r="T1005">
        <v>0.625</v>
      </c>
    </row>
    <row r="1006" spans="1:20" x14ac:dyDescent="0.3">
      <c r="A1006" t="s">
        <v>2031</v>
      </c>
      <c r="B1006" s="171" t="s">
        <v>2032</v>
      </c>
      <c r="C1006" s="171" t="s">
        <v>179</v>
      </c>
      <c r="D1006" s="171" t="s">
        <v>80</v>
      </c>
      <c r="E1006" s="11">
        <v>41275</v>
      </c>
      <c r="H1006" t="e">
        <v>#DIV/0!</v>
      </c>
      <c r="K1006" t="e">
        <v>#DIV/0!</v>
      </c>
      <c r="M1006" t="e">
        <v>#DIV/0!</v>
      </c>
      <c r="R1006" t="e">
        <v>#DIV/0!</v>
      </c>
      <c r="T1006">
        <v>0.34947368421052627</v>
      </c>
    </row>
    <row r="1007" spans="1:20" x14ac:dyDescent="0.3">
      <c r="A1007" t="s">
        <v>2033</v>
      </c>
      <c r="B1007" s="171" t="s">
        <v>2034</v>
      </c>
      <c r="C1007" s="171" t="s">
        <v>182</v>
      </c>
      <c r="D1007" s="171" t="s">
        <v>4</v>
      </c>
      <c r="E1007" s="11">
        <v>41275</v>
      </c>
      <c r="H1007" t="e">
        <v>#DIV/0!</v>
      </c>
      <c r="K1007" t="e">
        <v>#DIV/0!</v>
      </c>
      <c r="M1007" t="e">
        <v>#DIV/0!</v>
      </c>
      <c r="R1007" t="e">
        <v>#DIV/0!</v>
      </c>
      <c r="T1007">
        <v>0</v>
      </c>
    </row>
    <row r="1008" spans="1:20" x14ac:dyDescent="0.3">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x14ac:dyDescent="0.3">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x14ac:dyDescent="0.3">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2043</v>
      </c>
      <c r="B1012" s="171" t="s">
        <v>2044</v>
      </c>
      <c r="C1012" s="171" t="s">
        <v>197</v>
      </c>
      <c r="D1012" s="171" t="s">
        <v>4</v>
      </c>
      <c r="E1012" s="11">
        <v>41275</v>
      </c>
      <c r="H1012" t="e">
        <v>#DIV/0!</v>
      </c>
      <c r="K1012" t="e">
        <v>#DIV/0!</v>
      </c>
      <c r="M1012" t="e">
        <v>#DIV/0!</v>
      </c>
      <c r="R1012" t="e">
        <v>#DIV/0!</v>
      </c>
    </row>
    <row r="1013" spans="1:20" x14ac:dyDescent="0.3">
      <c r="A1013" t="s">
        <v>2045</v>
      </c>
      <c r="B1013" s="171" t="s">
        <v>2046</v>
      </c>
      <c r="C1013" s="171" t="s">
        <v>209</v>
      </c>
      <c r="D1013" s="171" t="s">
        <v>4</v>
      </c>
      <c r="E1013" s="11">
        <v>41275</v>
      </c>
      <c r="H1013" t="e">
        <v>#DIV/0!</v>
      </c>
      <c r="K1013" t="e">
        <v>#DIV/0!</v>
      </c>
      <c r="M1013" t="e">
        <v>#DIV/0!</v>
      </c>
      <c r="R1013" t="e">
        <v>#DIV/0!</v>
      </c>
    </row>
    <row r="1014" spans="1:20" x14ac:dyDescent="0.3">
      <c r="A1014" t="s">
        <v>2047</v>
      </c>
      <c r="B1014" s="171" t="s">
        <v>2048</v>
      </c>
      <c r="C1014" s="171" t="s">
        <v>212</v>
      </c>
      <c r="D1014" s="171" t="s">
        <v>80</v>
      </c>
      <c r="E1014" s="11">
        <v>41275</v>
      </c>
      <c r="H1014" t="e">
        <v>#DIV/0!</v>
      </c>
      <c r="K1014" t="e">
        <v>#DIV/0!</v>
      </c>
      <c r="M1014" t="e">
        <v>#DIV/0!</v>
      </c>
      <c r="R1014" t="e">
        <v>#DIV/0!</v>
      </c>
    </row>
    <row r="1015" spans="1:20" x14ac:dyDescent="0.3">
      <c r="A1015" t="s">
        <v>2049</v>
      </c>
      <c r="B1015" s="171" t="s">
        <v>2050</v>
      </c>
      <c r="C1015" s="171" t="s">
        <v>215</v>
      </c>
      <c r="D1015" s="171" t="s">
        <v>80</v>
      </c>
      <c r="E1015" s="11">
        <v>41275</v>
      </c>
      <c r="H1015" t="e">
        <v>#DIV/0!</v>
      </c>
      <c r="K1015" t="e">
        <v>#DIV/0!</v>
      </c>
      <c r="M1015" t="e">
        <v>#DIV/0!</v>
      </c>
      <c r="R1015" t="e">
        <v>#DIV/0!</v>
      </c>
      <c r="T1015">
        <v>1.2236842105263157</v>
      </c>
    </row>
    <row r="1016" spans="1:20" x14ac:dyDescent="0.3">
      <c r="A1016" t="s">
        <v>2051</v>
      </c>
      <c r="B1016" s="171" t="s">
        <v>2052</v>
      </c>
      <c r="C1016" s="171" t="s">
        <v>218</v>
      </c>
      <c r="D1016" s="171" t="s">
        <v>4</v>
      </c>
      <c r="E1016" s="11">
        <v>41275</v>
      </c>
      <c r="H1016" t="e">
        <v>#DIV/0!</v>
      </c>
      <c r="K1016" t="e">
        <v>#DIV/0!</v>
      </c>
      <c r="M1016" t="e">
        <v>#DIV/0!</v>
      </c>
      <c r="R1016" t="e">
        <v>#DIV/0!</v>
      </c>
      <c r="T1016">
        <v>1.125</v>
      </c>
    </row>
    <row r="1017" spans="1:20" x14ac:dyDescent="0.3">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x14ac:dyDescent="0.3">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x14ac:dyDescent="0.3">
      <c r="A1019" t="s">
        <v>2057</v>
      </c>
      <c r="B1019" s="171" t="s">
        <v>2058</v>
      </c>
      <c r="C1019" s="171" t="s">
        <v>239</v>
      </c>
      <c r="D1019" s="171" t="s">
        <v>4</v>
      </c>
      <c r="E1019" s="11">
        <v>41275</v>
      </c>
      <c r="F1019">
        <v>0.75</v>
      </c>
      <c r="G1019">
        <v>5</v>
      </c>
      <c r="H1019">
        <v>0.15</v>
      </c>
      <c r="I1019">
        <v>5</v>
      </c>
      <c r="L1019">
        <v>9</v>
      </c>
      <c r="M1019">
        <v>0</v>
      </c>
      <c r="R1019" t="e">
        <v>#DIV/0!</v>
      </c>
    </row>
    <row r="1020" spans="1:20" x14ac:dyDescent="0.3">
      <c r="A1020" t="s">
        <v>2059</v>
      </c>
      <c r="B1020" s="171" t="s">
        <v>2060</v>
      </c>
      <c r="C1020" s="171" t="s">
        <v>143</v>
      </c>
      <c r="D1020" s="171" t="s">
        <v>4</v>
      </c>
      <c r="E1020" s="11">
        <v>41275</v>
      </c>
      <c r="H1020" t="e">
        <v>#DIV/0!</v>
      </c>
      <c r="K1020" t="e">
        <v>#DIV/0!</v>
      </c>
      <c r="M1020" t="e">
        <v>#DIV/0!</v>
      </c>
      <c r="R1020" t="e">
        <v>#DIV/0!</v>
      </c>
    </row>
    <row r="1021" spans="1:20" x14ac:dyDescent="0.3">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2063</v>
      </c>
      <c r="B1022" s="171" t="s">
        <v>2064</v>
      </c>
      <c r="C1022" s="171" t="s">
        <v>149</v>
      </c>
      <c r="D1022" s="171" t="s">
        <v>4</v>
      </c>
      <c r="E1022" s="11">
        <v>41275</v>
      </c>
      <c r="H1022" t="e">
        <v>#DIV/0!</v>
      </c>
      <c r="K1022" t="e">
        <v>#DIV/0!</v>
      </c>
      <c r="M1022" t="e">
        <v>#DIV/0!</v>
      </c>
      <c r="R1022" t="e">
        <v>#DIV/0!</v>
      </c>
      <c r="T1022">
        <v>1.0666666666666667</v>
      </c>
    </row>
    <row r="1023" spans="1:20" x14ac:dyDescent="0.3">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x14ac:dyDescent="0.3">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x14ac:dyDescent="0.3">
      <c r="A1025" t="s">
        <v>2069</v>
      </c>
      <c r="B1025" s="171" t="s">
        <v>2070</v>
      </c>
      <c r="C1025" s="171" t="s">
        <v>158</v>
      </c>
      <c r="D1025" s="171" t="s">
        <v>4</v>
      </c>
      <c r="E1025" s="11">
        <v>41275</v>
      </c>
      <c r="H1025" t="e">
        <v>#DIV/0!</v>
      </c>
      <c r="K1025" t="e">
        <v>#DIV/0!</v>
      </c>
      <c r="M1025" t="e">
        <v>#DIV/0!</v>
      </c>
      <c r="R1025" t="e">
        <v>#DIV/0!</v>
      </c>
    </row>
    <row r="1026" spans="1:20" x14ac:dyDescent="0.3">
      <c r="A1026" t="s">
        <v>2071</v>
      </c>
      <c r="B1026" s="171" t="s">
        <v>2072</v>
      </c>
      <c r="C1026" s="171" t="s">
        <v>164</v>
      </c>
      <c r="D1026" s="171" t="s">
        <v>4</v>
      </c>
      <c r="E1026" s="11">
        <v>41275</v>
      </c>
      <c r="F1026">
        <v>1.5</v>
      </c>
      <c r="G1026">
        <v>1.5</v>
      </c>
      <c r="H1026">
        <v>1</v>
      </c>
      <c r="I1026">
        <v>2</v>
      </c>
      <c r="K1026" t="e">
        <v>#DIV/0!</v>
      </c>
      <c r="L1026">
        <v>14.5</v>
      </c>
      <c r="M1026">
        <v>0</v>
      </c>
      <c r="R1026" t="e">
        <v>#DIV/0!</v>
      </c>
    </row>
    <row r="1027" spans="1:20" x14ac:dyDescent="0.3">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x14ac:dyDescent="0.3">
      <c r="A1028" t="s">
        <v>2075</v>
      </c>
      <c r="B1028" s="171" t="s">
        <v>2076</v>
      </c>
      <c r="C1028" s="171" t="s">
        <v>221</v>
      </c>
      <c r="D1028" s="171" t="s">
        <v>80</v>
      </c>
      <c r="E1028" s="11">
        <v>41275</v>
      </c>
      <c r="F1028">
        <v>1</v>
      </c>
      <c r="G1028">
        <v>1</v>
      </c>
      <c r="H1028">
        <v>1</v>
      </c>
      <c r="I1028">
        <v>0</v>
      </c>
      <c r="L1028">
        <v>0</v>
      </c>
      <c r="M1028" t="e">
        <v>#DIV/0!</v>
      </c>
      <c r="R1028" t="e">
        <v>#DIV/0!</v>
      </c>
    </row>
    <row r="1029" spans="1:20" x14ac:dyDescent="0.3">
      <c r="A1029" t="s">
        <v>2077</v>
      </c>
      <c r="B1029" s="171" t="s">
        <v>2078</v>
      </c>
      <c r="C1029" s="171" t="s">
        <v>224</v>
      </c>
      <c r="D1029" s="171" t="s">
        <v>4</v>
      </c>
      <c r="E1029" s="11">
        <v>41275</v>
      </c>
      <c r="H1029" t="e">
        <v>#DIV/0!</v>
      </c>
      <c r="K1029" t="e">
        <v>#DIV/0!</v>
      </c>
      <c r="M1029" t="e">
        <v>#DIV/0!</v>
      </c>
      <c r="R1029" t="e">
        <v>#DIV/0!</v>
      </c>
    </row>
    <row r="1030" spans="1:20" x14ac:dyDescent="0.3">
      <c r="A1030" t="s">
        <v>2079</v>
      </c>
      <c r="B1030" s="171" t="s">
        <v>2080</v>
      </c>
      <c r="C1030" s="171" t="s">
        <v>227</v>
      </c>
      <c r="D1030" s="171" t="s">
        <v>4</v>
      </c>
      <c r="E1030" s="11">
        <v>41275</v>
      </c>
      <c r="F1030">
        <v>1</v>
      </c>
      <c r="G1030">
        <v>1</v>
      </c>
      <c r="H1030">
        <v>1</v>
      </c>
      <c r="K1030" t="e">
        <v>#DIV/0!</v>
      </c>
      <c r="M1030" t="e">
        <v>#DIV/0!</v>
      </c>
      <c r="R1030" t="e">
        <v>#DIV/0!</v>
      </c>
    </row>
    <row r="1031" spans="1:20" x14ac:dyDescent="0.3">
      <c r="A1031" t="s">
        <v>2081</v>
      </c>
      <c r="B1031" s="171" t="s">
        <v>2082</v>
      </c>
      <c r="C1031" s="171" t="s">
        <v>230</v>
      </c>
      <c r="D1031" s="171" t="s">
        <v>4</v>
      </c>
      <c r="E1031" s="11">
        <v>41275</v>
      </c>
      <c r="H1031" t="e">
        <v>#DIV/0!</v>
      </c>
      <c r="K1031" t="e">
        <v>#DIV/0!</v>
      </c>
      <c r="M1031" t="e">
        <v>#DIV/0!</v>
      </c>
      <c r="R1031" t="e">
        <v>#DIV/0!</v>
      </c>
      <c r="T1031">
        <v>1</v>
      </c>
    </row>
    <row r="1032" spans="1:20" x14ac:dyDescent="0.3">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x14ac:dyDescent="0.3">
      <c r="A1033" t="s">
        <v>2085</v>
      </c>
      <c r="B1033" s="171" t="s">
        <v>2086</v>
      </c>
      <c r="C1033" s="171" t="s">
        <v>76</v>
      </c>
      <c r="D1033" s="171" t="s">
        <v>4</v>
      </c>
      <c r="E1033" s="11">
        <v>41306</v>
      </c>
      <c r="F1033">
        <v>4</v>
      </c>
      <c r="G1033">
        <v>2.5</v>
      </c>
      <c r="H1033">
        <v>1.6</v>
      </c>
      <c r="I1033">
        <v>14</v>
      </c>
      <c r="K1033" t="e">
        <v>#DIV/0!</v>
      </c>
      <c r="L1033">
        <v>14.5</v>
      </c>
      <c r="M1033">
        <v>0</v>
      </c>
      <c r="R1033" t="e">
        <v>#DIV/0!</v>
      </c>
    </row>
    <row r="1034" spans="1:20" x14ac:dyDescent="0.3">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x14ac:dyDescent="0.3">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x14ac:dyDescent="0.3">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x14ac:dyDescent="0.3">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x14ac:dyDescent="0.3">
      <c r="A1045" t="s">
        <v>2109</v>
      </c>
      <c r="B1045" s="171" t="s">
        <v>2110</v>
      </c>
      <c r="C1045" s="171" t="s">
        <v>113</v>
      </c>
      <c r="D1045" s="171" t="s">
        <v>80</v>
      </c>
      <c r="E1045" s="11">
        <v>41306</v>
      </c>
      <c r="F1045">
        <v>6</v>
      </c>
      <c r="G1045">
        <v>4</v>
      </c>
      <c r="H1045">
        <v>1.5</v>
      </c>
      <c r="K1045" t="e">
        <v>#DIV/0!</v>
      </c>
      <c r="L1045">
        <v>20</v>
      </c>
      <c r="M1045">
        <v>0</v>
      </c>
      <c r="R1045">
        <v>0</v>
      </c>
    </row>
    <row r="1046" spans="1:20" x14ac:dyDescent="0.3">
      <c r="A1046" t="s">
        <v>2111</v>
      </c>
      <c r="B1046" s="171" t="s">
        <v>2112</v>
      </c>
      <c r="C1046" s="171" t="s">
        <v>116</v>
      </c>
      <c r="D1046" s="171" t="s">
        <v>80</v>
      </c>
      <c r="E1046" s="11">
        <v>41306</v>
      </c>
      <c r="H1046" t="e">
        <v>#DIV/0!</v>
      </c>
      <c r="K1046" t="e">
        <v>#DIV/0!</v>
      </c>
      <c r="M1046" t="e">
        <v>#DIV/0!</v>
      </c>
      <c r="R1046" t="e">
        <v>#DIV/0!</v>
      </c>
    </row>
    <row r="1047" spans="1:20" x14ac:dyDescent="0.3">
      <c r="A1047" t="s">
        <v>2113</v>
      </c>
      <c r="B1047" s="171" t="s">
        <v>2114</v>
      </c>
      <c r="C1047" s="171" t="s">
        <v>119</v>
      </c>
      <c r="D1047" s="171" t="s">
        <v>80</v>
      </c>
      <c r="E1047" s="11">
        <v>41306</v>
      </c>
      <c r="H1047" t="e">
        <v>#DIV/0!</v>
      </c>
      <c r="K1047" t="e">
        <v>#DIV/0!</v>
      </c>
      <c r="M1047" t="e">
        <v>#DIV/0!</v>
      </c>
      <c r="R1047" t="e">
        <v>#DIV/0!</v>
      </c>
      <c r="T1047">
        <v>0</v>
      </c>
    </row>
    <row r="1048" spans="1:20" x14ac:dyDescent="0.3">
      <c r="A1048" t="s">
        <v>2115</v>
      </c>
      <c r="B1048" s="171" t="s">
        <v>2116</v>
      </c>
      <c r="C1048" s="171" t="s">
        <v>122</v>
      </c>
      <c r="D1048" s="171" t="s">
        <v>4</v>
      </c>
      <c r="E1048" s="11">
        <v>41306</v>
      </c>
      <c r="H1048" t="e">
        <v>#DIV/0!</v>
      </c>
      <c r="K1048" t="e">
        <v>#DIV/0!</v>
      </c>
      <c r="M1048" t="e">
        <v>#DIV/0!</v>
      </c>
      <c r="R1048" t="e">
        <v>#DIV/0!</v>
      </c>
    </row>
    <row r="1049" spans="1:20" x14ac:dyDescent="0.3">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x14ac:dyDescent="0.3">
      <c r="A1052" t="s">
        <v>2123</v>
      </c>
      <c r="B1052" s="171" t="s">
        <v>2124</v>
      </c>
      <c r="C1052" s="171" t="s">
        <v>134</v>
      </c>
      <c r="D1052" s="171" t="s">
        <v>80</v>
      </c>
      <c r="E1052" s="11">
        <v>41306</v>
      </c>
      <c r="H1052" t="e">
        <v>#DIV/0!</v>
      </c>
      <c r="K1052" t="e">
        <v>#DIV/0!</v>
      </c>
      <c r="M1052" t="e">
        <v>#DIV/0!</v>
      </c>
      <c r="R1052" t="e">
        <v>#DIV/0!</v>
      </c>
      <c r="T1052">
        <v>0.81945000000000001</v>
      </c>
    </row>
    <row r="1053" spans="1:20" x14ac:dyDescent="0.3">
      <c r="A1053" t="s">
        <v>2125</v>
      </c>
      <c r="B1053" s="171" t="s">
        <v>2126</v>
      </c>
      <c r="C1053" s="171" t="s">
        <v>137</v>
      </c>
      <c r="D1053" s="171" t="s">
        <v>4</v>
      </c>
      <c r="E1053" s="11">
        <v>41306</v>
      </c>
      <c r="H1053" t="e">
        <v>#DIV/0!</v>
      </c>
      <c r="K1053" t="e">
        <v>#DIV/0!</v>
      </c>
      <c r="M1053" t="e">
        <v>#DIV/0!</v>
      </c>
      <c r="R1053" t="e">
        <v>#DIV/0!</v>
      </c>
      <c r="T1053">
        <v>1</v>
      </c>
    </row>
    <row r="1054" spans="1:20" x14ac:dyDescent="0.3">
      <c r="A1054" t="s">
        <v>2127</v>
      </c>
      <c r="B1054" s="171" t="s">
        <v>2128</v>
      </c>
      <c r="C1054" s="171" t="s">
        <v>140</v>
      </c>
      <c r="D1054" s="171" t="s">
        <v>80</v>
      </c>
      <c r="E1054" s="11">
        <v>41306</v>
      </c>
      <c r="H1054" t="e">
        <v>#DIV/0!</v>
      </c>
      <c r="K1054" t="e">
        <v>#DIV/0!</v>
      </c>
      <c r="M1054" t="e">
        <v>#DIV/0!</v>
      </c>
      <c r="R1054" t="e">
        <v>#DIV/0!</v>
      </c>
    </row>
    <row r="1055" spans="1:20" x14ac:dyDescent="0.3">
      <c r="A1055" t="s">
        <v>2129</v>
      </c>
      <c r="B1055" s="171" t="s">
        <v>2130</v>
      </c>
      <c r="C1055" s="171" t="s">
        <v>143</v>
      </c>
      <c r="D1055" s="171" t="s">
        <v>80</v>
      </c>
      <c r="E1055" s="11">
        <v>41306</v>
      </c>
      <c r="H1055" t="e">
        <v>#DIV/0!</v>
      </c>
      <c r="K1055" t="e">
        <v>#DIV/0!</v>
      </c>
      <c r="M1055" t="e">
        <v>#DIV/0!</v>
      </c>
      <c r="N1055">
        <v>0</v>
      </c>
      <c r="R1055" t="e">
        <v>#DIV/0!</v>
      </c>
    </row>
    <row r="1056" spans="1:20" x14ac:dyDescent="0.3">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2133</v>
      </c>
      <c r="B1057" s="171" t="s">
        <v>2134</v>
      </c>
      <c r="C1057" s="171" t="s">
        <v>149</v>
      </c>
      <c r="D1057" s="171" t="s">
        <v>80</v>
      </c>
      <c r="E1057" s="11">
        <v>41306</v>
      </c>
      <c r="H1057" t="e">
        <v>#DIV/0!</v>
      </c>
      <c r="K1057" t="e">
        <v>#DIV/0!</v>
      </c>
      <c r="M1057" t="e">
        <v>#DIV/0!</v>
      </c>
      <c r="R1057" t="e">
        <v>#DIV/0!</v>
      </c>
      <c r="T1057">
        <v>0</v>
      </c>
    </row>
    <row r="1058" spans="1:20" x14ac:dyDescent="0.3">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x14ac:dyDescent="0.3">
      <c r="A1060" t="s">
        <v>2139</v>
      </c>
      <c r="B1060" s="171" t="s">
        <v>2140</v>
      </c>
      <c r="C1060" s="171" t="s">
        <v>158</v>
      </c>
      <c r="D1060" s="171" t="s">
        <v>80</v>
      </c>
      <c r="E1060" s="11">
        <v>41306</v>
      </c>
      <c r="H1060" t="e">
        <v>#DIV/0!</v>
      </c>
      <c r="K1060" t="e">
        <v>#DIV/0!</v>
      </c>
      <c r="M1060" t="e">
        <v>#DIV/0!</v>
      </c>
      <c r="R1060" t="e">
        <v>#DIV/0!</v>
      </c>
      <c r="T1060">
        <v>0.97599999999999998</v>
      </c>
    </row>
    <row r="1061" spans="1:20" x14ac:dyDescent="0.3">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x14ac:dyDescent="0.3">
      <c r="A1063" t="s">
        <v>2145</v>
      </c>
      <c r="B1063" s="171" t="s">
        <v>2146</v>
      </c>
      <c r="C1063" s="171" t="s">
        <v>167</v>
      </c>
      <c r="D1063" s="171" t="s">
        <v>4</v>
      </c>
      <c r="E1063" s="11">
        <v>41306</v>
      </c>
      <c r="H1063" t="e">
        <v>#DIV/0!</v>
      </c>
      <c r="K1063" t="e">
        <v>#DIV/0!</v>
      </c>
      <c r="M1063" t="e">
        <v>#DIV/0!</v>
      </c>
      <c r="R1063" t="e">
        <v>#DIV/0!</v>
      </c>
      <c r="T1063">
        <v>0</v>
      </c>
    </row>
    <row r="1064" spans="1:20" x14ac:dyDescent="0.3">
      <c r="A1064" t="s">
        <v>2147</v>
      </c>
      <c r="B1064" s="171" t="s">
        <v>2148</v>
      </c>
      <c r="C1064" s="171" t="s">
        <v>170</v>
      </c>
      <c r="D1064" s="171" t="s">
        <v>80</v>
      </c>
      <c r="E1064" s="11">
        <v>41306</v>
      </c>
      <c r="H1064" t="e">
        <v>#DIV/0!</v>
      </c>
      <c r="K1064" t="e">
        <v>#DIV/0!</v>
      </c>
      <c r="M1064" t="e">
        <v>#DIV/0!</v>
      </c>
      <c r="R1064" t="e">
        <v>#DIV/0!</v>
      </c>
      <c r="T1064">
        <v>0.81401618181818181</v>
      </c>
    </row>
    <row r="1065" spans="1:20" x14ac:dyDescent="0.3">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x14ac:dyDescent="0.3">
      <c r="A1067" t="s">
        <v>2153</v>
      </c>
      <c r="B1067" s="171" t="s">
        <v>2154</v>
      </c>
      <c r="C1067" s="171" t="s">
        <v>179</v>
      </c>
      <c r="D1067" s="171" t="s">
        <v>4</v>
      </c>
      <c r="E1067" s="11">
        <v>41306</v>
      </c>
      <c r="H1067" t="e">
        <v>#DIV/0!</v>
      </c>
      <c r="K1067" t="e">
        <v>#DIV/0!</v>
      </c>
      <c r="M1067" t="e">
        <v>#DIV/0!</v>
      </c>
      <c r="R1067" t="e">
        <v>#DIV/0!</v>
      </c>
      <c r="T1067">
        <v>0.54545454545454541</v>
      </c>
    </row>
    <row r="1068" spans="1:20" x14ac:dyDescent="0.3">
      <c r="A1068" t="s">
        <v>2155</v>
      </c>
      <c r="B1068" s="171" t="s">
        <v>2156</v>
      </c>
      <c r="C1068" s="171" t="s">
        <v>182</v>
      </c>
      <c r="D1068" s="171" t="s">
        <v>80</v>
      </c>
      <c r="E1068" s="11">
        <v>41306</v>
      </c>
      <c r="H1068" t="e">
        <v>#DIV/0!</v>
      </c>
      <c r="K1068" t="e">
        <v>#DIV/0!</v>
      </c>
      <c r="M1068" t="e">
        <v>#DIV/0!</v>
      </c>
      <c r="R1068" t="e">
        <v>#DIV/0!</v>
      </c>
    </row>
    <row r="1069" spans="1:20" x14ac:dyDescent="0.3">
      <c r="A1069" t="s">
        <v>2157</v>
      </c>
      <c r="B1069" s="171" t="s">
        <v>2158</v>
      </c>
      <c r="C1069" s="171" t="s">
        <v>185</v>
      </c>
      <c r="D1069" s="171" t="s">
        <v>4</v>
      </c>
      <c r="E1069" s="11">
        <v>41306</v>
      </c>
      <c r="F1069">
        <v>3</v>
      </c>
      <c r="G1069">
        <v>3</v>
      </c>
      <c r="H1069">
        <v>1</v>
      </c>
      <c r="K1069" t="e">
        <v>#DIV/0!</v>
      </c>
      <c r="M1069" t="e">
        <v>#DIV/0!</v>
      </c>
      <c r="R1069" t="e">
        <v>#DIV/0!</v>
      </c>
    </row>
    <row r="1070" spans="1:20" x14ac:dyDescent="0.3">
      <c r="A1070" t="s">
        <v>2159</v>
      </c>
      <c r="B1070" s="171" t="s">
        <v>2160</v>
      </c>
      <c r="C1070" s="171" t="s">
        <v>188</v>
      </c>
      <c r="D1070" s="171" t="s">
        <v>80</v>
      </c>
      <c r="E1070" s="11">
        <v>41306</v>
      </c>
      <c r="F1070">
        <v>3</v>
      </c>
      <c r="G1070">
        <v>3</v>
      </c>
      <c r="H1070">
        <v>1</v>
      </c>
      <c r="K1070" t="e">
        <v>#DIV/0!</v>
      </c>
      <c r="M1070" t="e">
        <v>#DIV/0!</v>
      </c>
      <c r="R1070" t="e">
        <v>#DIV/0!</v>
      </c>
    </row>
    <row r="1071" spans="1:20" x14ac:dyDescent="0.3">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2165</v>
      </c>
      <c r="B1073" s="171" t="s">
        <v>2166</v>
      </c>
      <c r="C1073" s="171" t="s">
        <v>197</v>
      </c>
      <c r="D1073" s="171" t="s">
        <v>80</v>
      </c>
      <c r="E1073" s="11">
        <v>41306</v>
      </c>
      <c r="H1073" t="e">
        <v>#DIV/0!</v>
      </c>
      <c r="K1073" t="e">
        <v>#DIV/0!</v>
      </c>
      <c r="M1073" t="e">
        <v>#DIV/0!</v>
      </c>
      <c r="R1073" t="e">
        <v>#DIV/0!</v>
      </c>
      <c r="T1073">
        <v>0.6875</v>
      </c>
    </row>
    <row r="1074" spans="1:20" x14ac:dyDescent="0.3">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x14ac:dyDescent="0.3">
      <c r="A1075" t="s">
        <v>2169</v>
      </c>
      <c r="B1075" s="171" t="s">
        <v>2170</v>
      </c>
      <c r="C1075" s="171" t="s">
        <v>203</v>
      </c>
      <c r="D1075" s="171" t="s">
        <v>80</v>
      </c>
      <c r="E1075" s="11">
        <v>41306</v>
      </c>
      <c r="H1075" t="e">
        <v>#DIV/0!</v>
      </c>
      <c r="K1075" t="e">
        <v>#DIV/0!</v>
      </c>
      <c r="M1075" t="e">
        <v>#DIV/0!</v>
      </c>
      <c r="R1075" t="e">
        <v>#DIV/0!</v>
      </c>
    </row>
    <row r="1076" spans="1:20" x14ac:dyDescent="0.3">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x14ac:dyDescent="0.3">
      <c r="A1077" t="s">
        <v>2173</v>
      </c>
      <c r="B1077" s="171" t="s">
        <v>2174</v>
      </c>
      <c r="C1077" s="171" t="s">
        <v>209</v>
      </c>
      <c r="D1077" s="171" t="s">
        <v>80</v>
      </c>
      <c r="E1077" s="11">
        <v>41306</v>
      </c>
      <c r="H1077" t="e">
        <v>#DIV/0!</v>
      </c>
      <c r="K1077" t="e">
        <v>#DIV/0!</v>
      </c>
      <c r="M1077" t="e">
        <v>#DIV/0!</v>
      </c>
      <c r="R1077" t="e">
        <v>#DIV/0!</v>
      </c>
    </row>
    <row r="1078" spans="1:20" x14ac:dyDescent="0.3">
      <c r="A1078" t="s">
        <v>2175</v>
      </c>
      <c r="B1078" s="171" t="s">
        <v>2176</v>
      </c>
      <c r="C1078" s="171" t="s">
        <v>212</v>
      </c>
      <c r="D1078" s="171" t="s">
        <v>4</v>
      </c>
      <c r="E1078" s="11">
        <v>41306</v>
      </c>
      <c r="H1078" t="e">
        <v>#DIV/0!</v>
      </c>
      <c r="K1078" t="e">
        <v>#DIV/0!</v>
      </c>
      <c r="M1078" t="e">
        <v>#DIV/0!</v>
      </c>
      <c r="R1078" t="e">
        <v>#DIV/0!</v>
      </c>
      <c r="T1078">
        <v>1.1904761904761905</v>
      </c>
    </row>
    <row r="1079" spans="1:20" x14ac:dyDescent="0.3">
      <c r="A1079" t="s">
        <v>2177</v>
      </c>
      <c r="B1079" s="171" t="s">
        <v>2178</v>
      </c>
      <c r="C1079" s="171" t="s">
        <v>215</v>
      </c>
      <c r="D1079" s="171" t="s">
        <v>4</v>
      </c>
      <c r="E1079" s="11">
        <v>41306</v>
      </c>
      <c r="H1079" t="e">
        <v>#DIV/0!</v>
      </c>
      <c r="K1079" t="e">
        <v>#DIV/0!</v>
      </c>
      <c r="M1079" t="e">
        <v>#DIV/0!</v>
      </c>
      <c r="R1079" t="e">
        <v>#DIV/0!</v>
      </c>
    </row>
    <row r="1080" spans="1:20" x14ac:dyDescent="0.3">
      <c r="A1080" t="s">
        <v>2179</v>
      </c>
      <c r="B1080" s="171" t="s">
        <v>2180</v>
      </c>
      <c r="C1080" s="171" t="s">
        <v>218</v>
      </c>
      <c r="D1080" s="171" t="s">
        <v>80</v>
      </c>
      <c r="E1080" s="11">
        <v>41306</v>
      </c>
      <c r="H1080" t="e">
        <v>#DIV/0!</v>
      </c>
      <c r="K1080" t="e">
        <v>#DIV/0!</v>
      </c>
      <c r="M1080" t="e">
        <v>#DIV/0!</v>
      </c>
      <c r="R1080" t="e">
        <v>#DIV/0!</v>
      </c>
      <c r="T1080">
        <v>1.25</v>
      </c>
    </row>
    <row r="1081" spans="1:20" x14ac:dyDescent="0.3">
      <c r="A1081" t="s">
        <v>2181</v>
      </c>
      <c r="B1081" s="171" t="s">
        <v>2182</v>
      </c>
      <c r="C1081" s="171" t="s">
        <v>221</v>
      </c>
      <c r="D1081" s="171" t="s">
        <v>4</v>
      </c>
      <c r="E1081" s="11">
        <v>41306</v>
      </c>
      <c r="F1081">
        <v>1</v>
      </c>
      <c r="G1081">
        <v>1</v>
      </c>
      <c r="H1081">
        <v>1</v>
      </c>
      <c r="I1081">
        <v>0</v>
      </c>
      <c r="L1081">
        <v>0</v>
      </c>
      <c r="M1081" t="e">
        <v>#DIV/0!</v>
      </c>
      <c r="R1081" t="e">
        <v>#DIV/0!</v>
      </c>
    </row>
    <row r="1082" spans="1:20" x14ac:dyDescent="0.3">
      <c r="A1082" t="s">
        <v>2183</v>
      </c>
      <c r="B1082" s="171" t="s">
        <v>2184</v>
      </c>
      <c r="C1082" s="171" t="s">
        <v>224</v>
      </c>
      <c r="D1082" s="171" t="s">
        <v>80</v>
      </c>
      <c r="E1082" s="11">
        <v>41306</v>
      </c>
      <c r="H1082" t="e">
        <v>#DIV/0!</v>
      </c>
      <c r="K1082" t="e">
        <v>#DIV/0!</v>
      </c>
      <c r="M1082" t="e">
        <v>#DIV/0!</v>
      </c>
      <c r="R1082" t="e">
        <v>#DIV/0!</v>
      </c>
    </row>
    <row r="1083" spans="1:20" x14ac:dyDescent="0.3">
      <c r="A1083" t="s">
        <v>2185</v>
      </c>
      <c r="B1083" s="171" t="s">
        <v>2186</v>
      </c>
      <c r="C1083" s="171" t="s">
        <v>227</v>
      </c>
      <c r="D1083" s="171" t="s">
        <v>80</v>
      </c>
      <c r="E1083" s="11">
        <v>41306</v>
      </c>
      <c r="F1083">
        <v>1</v>
      </c>
      <c r="G1083">
        <v>1</v>
      </c>
      <c r="H1083">
        <v>1</v>
      </c>
      <c r="K1083" t="e">
        <v>#DIV/0!</v>
      </c>
      <c r="M1083" t="e">
        <v>#DIV/0!</v>
      </c>
      <c r="R1083" t="e">
        <v>#DIV/0!</v>
      </c>
    </row>
    <row r="1084" spans="1:20" x14ac:dyDescent="0.3">
      <c r="A1084" t="s">
        <v>2187</v>
      </c>
      <c r="B1084" s="171" t="s">
        <v>2188</v>
      </c>
      <c r="C1084" s="171" t="s">
        <v>230</v>
      </c>
      <c r="D1084" s="171" t="s">
        <v>80</v>
      </c>
      <c r="E1084" s="11">
        <v>41306</v>
      </c>
      <c r="H1084" t="e">
        <v>#DIV/0!</v>
      </c>
      <c r="K1084" t="e">
        <v>#DIV/0!</v>
      </c>
      <c r="M1084" t="e">
        <v>#DIV/0!</v>
      </c>
      <c r="R1084" t="e">
        <v>#DIV/0!</v>
      </c>
    </row>
    <row r="1085" spans="1:20" x14ac:dyDescent="0.3">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x14ac:dyDescent="0.3">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x14ac:dyDescent="0.3">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x14ac:dyDescent="0.3">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2213</v>
      </c>
      <c r="B1097" s="171" t="s">
        <v>2214</v>
      </c>
      <c r="C1097" s="171" t="s">
        <v>113</v>
      </c>
      <c r="D1097" s="171" t="s">
        <v>4</v>
      </c>
      <c r="E1097" s="11">
        <v>41306</v>
      </c>
      <c r="F1097">
        <v>6</v>
      </c>
      <c r="G1097">
        <v>4</v>
      </c>
      <c r="H1097">
        <v>1.5</v>
      </c>
      <c r="K1097" t="e">
        <v>#DIV/0!</v>
      </c>
      <c r="L1097">
        <v>20</v>
      </c>
      <c r="M1097">
        <v>0</v>
      </c>
      <c r="R1097">
        <v>0</v>
      </c>
    </row>
    <row r="1098" spans="1:20" x14ac:dyDescent="0.3">
      <c r="A1098" t="s">
        <v>2215</v>
      </c>
      <c r="B1098" s="171" t="s">
        <v>2216</v>
      </c>
      <c r="C1098" s="171" t="s">
        <v>116</v>
      </c>
      <c r="D1098" s="171" t="s">
        <v>4</v>
      </c>
      <c r="E1098" s="11">
        <v>41306</v>
      </c>
      <c r="H1098" t="e">
        <v>#DIV/0!</v>
      </c>
      <c r="K1098" t="e">
        <v>#DIV/0!</v>
      </c>
      <c r="M1098" t="e">
        <v>#DIV/0!</v>
      </c>
      <c r="R1098" t="e">
        <v>#DIV/0!</v>
      </c>
      <c r="T1098">
        <v>0.25</v>
      </c>
    </row>
    <row r="1099" spans="1:20" x14ac:dyDescent="0.3">
      <c r="A1099" t="s">
        <v>2217</v>
      </c>
      <c r="B1099" s="171" t="s">
        <v>2218</v>
      </c>
      <c r="C1099" s="171" t="s">
        <v>119</v>
      </c>
      <c r="D1099" s="171" t="s">
        <v>4</v>
      </c>
      <c r="E1099" s="11">
        <v>41306</v>
      </c>
      <c r="H1099" t="e">
        <v>#DIV/0!</v>
      </c>
      <c r="K1099" t="e">
        <v>#DIV/0!</v>
      </c>
      <c r="M1099" t="e">
        <v>#DIV/0!</v>
      </c>
      <c r="R1099" t="e">
        <v>#DIV/0!</v>
      </c>
    </row>
    <row r="1100" spans="1:20" x14ac:dyDescent="0.3">
      <c r="A1100" t="s">
        <v>2219</v>
      </c>
      <c r="B1100" s="171" t="s">
        <v>2220</v>
      </c>
      <c r="C1100" s="171" t="s">
        <v>122</v>
      </c>
      <c r="D1100" s="171" t="s">
        <v>80</v>
      </c>
      <c r="E1100" s="11">
        <v>41306</v>
      </c>
      <c r="H1100" t="e">
        <v>#DIV/0!</v>
      </c>
      <c r="K1100" t="e">
        <v>#DIV/0!</v>
      </c>
      <c r="M1100" t="e">
        <v>#DIV/0!</v>
      </c>
      <c r="R1100" t="e">
        <v>#DIV/0!</v>
      </c>
    </row>
    <row r="1101" spans="1:20" x14ac:dyDescent="0.3">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2225</v>
      </c>
      <c r="B1103" s="171" t="s">
        <v>2226</v>
      </c>
      <c r="C1103" s="171" t="s">
        <v>131</v>
      </c>
      <c r="D1103" s="171" t="s">
        <v>4</v>
      </c>
      <c r="E1103" s="11">
        <v>41306</v>
      </c>
      <c r="F1103">
        <v>6</v>
      </c>
      <c r="G1103">
        <v>4</v>
      </c>
      <c r="H1103">
        <v>1.5</v>
      </c>
      <c r="K1103" t="e">
        <v>#DIV/0!</v>
      </c>
      <c r="L1103">
        <v>27.5</v>
      </c>
      <c r="M1103">
        <v>0</v>
      </c>
      <c r="R1103" t="e">
        <v>#DIV/0!</v>
      </c>
      <c r="T1103">
        <v>0</v>
      </c>
    </row>
    <row r="1104" spans="1:20" x14ac:dyDescent="0.3">
      <c r="A1104" t="s">
        <v>2227</v>
      </c>
      <c r="B1104" s="171" t="s">
        <v>2228</v>
      </c>
      <c r="C1104" s="171" t="s">
        <v>134</v>
      </c>
      <c r="D1104" s="171" t="s">
        <v>4</v>
      </c>
      <c r="E1104" s="11">
        <v>41306</v>
      </c>
      <c r="H1104" t="e">
        <v>#DIV/0!</v>
      </c>
      <c r="K1104" t="e">
        <v>#DIV/0!</v>
      </c>
      <c r="M1104" t="e">
        <v>#DIV/0!</v>
      </c>
      <c r="R1104" t="e">
        <v>#DIV/0!</v>
      </c>
    </row>
    <row r="1105" spans="1:20" x14ac:dyDescent="0.3">
      <c r="A1105" t="s">
        <v>2229</v>
      </c>
      <c r="B1105" s="171" t="s">
        <v>2230</v>
      </c>
      <c r="C1105" s="171" t="s">
        <v>137</v>
      </c>
      <c r="D1105" s="171" t="s">
        <v>80</v>
      </c>
      <c r="E1105" s="11">
        <v>41306</v>
      </c>
      <c r="H1105" t="e">
        <v>#DIV/0!</v>
      </c>
      <c r="K1105" t="e">
        <v>#DIV/0!</v>
      </c>
      <c r="M1105" t="e">
        <v>#DIV/0!</v>
      </c>
      <c r="R1105" t="e">
        <v>#DIV/0!</v>
      </c>
    </row>
    <row r="1106" spans="1:20" x14ac:dyDescent="0.3">
      <c r="A1106" t="s">
        <v>2231</v>
      </c>
      <c r="B1106" s="171" t="s">
        <v>2232</v>
      </c>
      <c r="C1106" s="171" t="s">
        <v>140</v>
      </c>
      <c r="D1106" s="171" t="s">
        <v>4</v>
      </c>
      <c r="E1106" s="11">
        <v>41306</v>
      </c>
      <c r="H1106" t="e">
        <v>#DIV/0!</v>
      </c>
      <c r="K1106" t="e">
        <v>#DIV/0!</v>
      </c>
      <c r="M1106" t="e">
        <v>#DIV/0!</v>
      </c>
      <c r="R1106" t="e">
        <v>#DIV/0!</v>
      </c>
    </row>
    <row r="1107" spans="1:20" x14ac:dyDescent="0.3">
      <c r="A1107" t="s">
        <v>2233</v>
      </c>
      <c r="B1107" s="171" t="s">
        <v>2234</v>
      </c>
      <c r="C1107" s="171" t="s">
        <v>167</v>
      </c>
      <c r="D1107" s="171" t="s">
        <v>80</v>
      </c>
      <c r="E1107" s="11">
        <v>41306</v>
      </c>
      <c r="H1107" t="e">
        <v>#DIV/0!</v>
      </c>
      <c r="K1107" t="e">
        <v>#DIV/0!</v>
      </c>
      <c r="M1107" t="e">
        <v>#DIV/0!</v>
      </c>
      <c r="R1107" t="e">
        <v>#DIV/0!</v>
      </c>
      <c r="T1107">
        <v>0.82906923076923067</v>
      </c>
    </row>
    <row r="1108" spans="1:20" x14ac:dyDescent="0.3">
      <c r="A1108" t="s">
        <v>2235</v>
      </c>
      <c r="B1108" s="171" t="s">
        <v>2236</v>
      </c>
      <c r="C1108" s="171" t="s">
        <v>170</v>
      </c>
      <c r="D1108" s="171" t="s">
        <v>4</v>
      </c>
      <c r="E1108" s="11">
        <v>41306</v>
      </c>
      <c r="H1108" t="e">
        <v>#DIV/0!</v>
      </c>
      <c r="K1108" t="e">
        <v>#DIV/0!</v>
      </c>
      <c r="M1108" t="e">
        <v>#DIV/0!</v>
      </c>
      <c r="R1108" t="e">
        <v>#DIV/0!</v>
      </c>
      <c r="T1108">
        <v>0.78498999999999997</v>
      </c>
    </row>
    <row r="1109" spans="1:20" x14ac:dyDescent="0.3">
      <c r="A1109" t="s">
        <v>2237</v>
      </c>
      <c r="B1109" s="171" t="s">
        <v>2238</v>
      </c>
      <c r="C1109" s="171" t="s">
        <v>179</v>
      </c>
      <c r="D1109" s="171" t="s">
        <v>80</v>
      </c>
      <c r="E1109" s="11">
        <v>41306</v>
      </c>
      <c r="H1109" t="e">
        <v>#DIV/0!</v>
      </c>
      <c r="K1109" t="e">
        <v>#DIV/0!</v>
      </c>
      <c r="M1109" t="e">
        <v>#DIV/0!</v>
      </c>
      <c r="R1109" t="e">
        <v>#DIV/0!</v>
      </c>
      <c r="T1109">
        <v>0.97599999999999998</v>
      </c>
    </row>
    <row r="1110" spans="1:20" x14ac:dyDescent="0.3">
      <c r="A1110" t="s">
        <v>2239</v>
      </c>
      <c r="B1110" s="171" t="s">
        <v>2240</v>
      </c>
      <c r="C1110" s="171" t="s">
        <v>182</v>
      </c>
      <c r="D1110" s="171" t="s">
        <v>4</v>
      </c>
      <c r="E1110" s="11">
        <v>41306</v>
      </c>
      <c r="H1110" t="e">
        <v>#DIV/0!</v>
      </c>
      <c r="K1110" t="e">
        <v>#DIV/0!</v>
      </c>
      <c r="M1110" t="e">
        <v>#DIV/0!</v>
      </c>
      <c r="R1110" t="e">
        <v>#DIV/0!</v>
      </c>
    </row>
    <row r="1111" spans="1:20" x14ac:dyDescent="0.3">
      <c r="A1111" t="s">
        <v>2241</v>
      </c>
      <c r="B1111" s="171" t="s">
        <v>2242</v>
      </c>
      <c r="C1111" s="171" t="s">
        <v>185</v>
      </c>
      <c r="D1111" s="171" t="s">
        <v>80</v>
      </c>
      <c r="E1111" s="11">
        <v>41306</v>
      </c>
      <c r="F1111">
        <v>3</v>
      </c>
      <c r="G1111">
        <v>3</v>
      </c>
      <c r="H1111">
        <v>1</v>
      </c>
      <c r="K1111" t="e">
        <v>#DIV/0!</v>
      </c>
      <c r="M1111" t="e">
        <v>#DIV/0!</v>
      </c>
      <c r="R1111" t="e">
        <v>#DIV/0!</v>
      </c>
    </row>
    <row r="1112" spans="1:20" x14ac:dyDescent="0.3">
      <c r="A1112" t="s">
        <v>2243</v>
      </c>
      <c r="B1112" s="171" t="s">
        <v>2244</v>
      </c>
      <c r="C1112" s="171" t="s">
        <v>188</v>
      </c>
      <c r="D1112" s="171" t="s">
        <v>4</v>
      </c>
      <c r="E1112" s="11">
        <v>41306</v>
      </c>
      <c r="F1112">
        <v>3</v>
      </c>
      <c r="G1112">
        <v>3</v>
      </c>
      <c r="H1112">
        <v>1</v>
      </c>
      <c r="K1112" t="e">
        <v>#DIV/0!</v>
      </c>
      <c r="M1112" t="e">
        <v>#DIV/0!</v>
      </c>
      <c r="R1112" t="e">
        <v>#DIV/0!</v>
      </c>
      <c r="T1112">
        <v>0</v>
      </c>
    </row>
    <row r="1113" spans="1:20" x14ac:dyDescent="0.3">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2249</v>
      </c>
      <c r="B1115" s="171" t="s">
        <v>2250</v>
      </c>
      <c r="C1115" s="171" t="s">
        <v>197</v>
      </c>
      <c r="D1115" s="171" t="s">
        <v>4</v>
      </c>
      <c r="E1115" s="11">
        <v>41306</v>
      </c>
      <c r="H1115" t="e">
        <v>#DIV/0!</v>
      </c>
      <c r="K1115" t="e">
        <v>#DIV/0!</v>
      </c>
      <c r="M1115" t="e">
        <v>#DIV/0!</v>
      </c>
      <c r="R1115" t="e">
        <v>#DIV/0!</v>
      </c>
      <c r="T1115">
        <v>0.79347999999999996</v>
      </c>
    </row>
    <row r="1116" spans="1:20" x14ac:dyDescent="0.3">
      <c r="A1116" t="s">
        <v>2251</v>
      </c>
      <c r="B1116" s="171" t="s">
        <v>2252</v>
      </c>
      <c r="C1116" s="171" t="s">
        <v>209</v>
      </c>
      <c r="D1116" s="171" t="s">
        <v>4</v>
      </c>
      <c r="E1116" s="11">
        <v>41306</v>
      </c>
      <c r="H1116" t="e">
        <v>#DIV/0!</v>
      </c>
      <c r="K1116" t="e">
        <v>#DIV/0!</v>
      </c>
      <c r="M1116" t="e">
        <v>#DIV/0!</v>
      </c>
      <c r="R1116" t="e">
        <v>#DIV/0!</v>
      </c>
      <c r="T1116">
        <v>0.98599999999999999</v>
      </c>
    </row>
    <row r="1117" spans="1:20" x14ac:dyDescent="0.3">
      <c r="A1117" t="s">
        <v>2253</v>
      </c>
      <c r="B1117" s="171" t="s">
        <v>2254</v>
      </c>
      <c r="C1117" s="171" t="s">
        <v>212</v>
      </c>
      <c r="D1117" s="171" t="s">
        <v>80</v>
      </c>
      <c r="E1117" s="11">
        <v>41306</v>
      </c>
      <c r="H1117" t="e">
        <v>#DIV/0!</v>
      </c>
      <c r="K1117" t="e">
        <v>#DIV/0!</v>
      </c>
      <c r="M1117" t="e">
        <v>#DIV/0!</v>
      </c>
      <c r="R1117" t="e">
        <v>#DIV/0!</v>
      </c>
      <c r="T1117">
        <v>0.625</v>
      </c>
    </row>
    <row r="1118" spans="1:20" x14ac:dyDescent="0.3">
      <c r="A1118" t="s">
        <v>2255</v>
      </c>
      <c r="B1118" s="171" t="s">
        <v>2256</v>
      </c>
      <c r="C1118" s="171" t="s">
        <v>215</v>
      </c>
      <c r="D1118" s="171" t="s">
        <v>80</v>
      </c>
      <c r="E1118" s="11">
        <v>41306</v>
      </c>
      <c r="H1118" t="e">
        <v>#DIV/0!</v>
      </c>
      <c r="K1118" t="e">
        <v>#DIV/0!</v>
      </c>
      <c r="M1118" t="e">
        <v>#DIV/0!</v>
      </c>
      <c r="R1118" t="e">
        <v>#DIV/0!</v>
      </c>
      <c r="T1118">
        <v>0.41363636363636369</v>
      </c>
    </row>
    <row r="1119" spans="1:20" x14ac:dyDescent="0.3">
      <c r="A1119" t="s">
        <v>2257</v>
      </c>
      <c r="B1119" s="171" t="s">
        <v>2258</v>
      </c>
      <c r="C1119" s="171" t="s">
        <v>218</v>
      </c>
      <c r="D1119" s="171" t="s">
        <v>4</v>
      </c>
      <c r="E1119" s="11">
        <v>41306</v>
      </c>
      <c r="H1119" t="e">
        <v>#DIV/0!</v>
      </c>
      <c r="K1119" t="e">
        <v>#DIV/0!</v>
      </c>
      <c r="M1119" t="e">
        <v>#DIV/0!</v>
      </c>
      <c r="R1119" t="e">
        <v>#DIV/0!</v>
      </c>
      <c r="T1119">
        <v>0</v>
      </c>
    </row>
    <row r="1120" spans="1:20" x14ac:dyDescent="0.3">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2265</v>
      </c>
      <c r="B1123" s="171" t="s">
        <v>2266</v>
      </c>
      <c r="C1123" s="171" t="s">
        <v>143</v>
      </c>
      <c r="D1123" s="171" t="s">
        <v>4</v>
      </c>
      <c r="E1123" s="11">
        <v>41306</v>
      </c>
      <c r="H1123" t="e">
        <v>#DIV/0!</v>
      </c>
      <c r="K1123" t="e">
        <v>#DIV/0!</v>
      </c>
      <c r="M1123" t="e">
        <v>#DIV/0!</v>
      </c>
      <c r="N1123">
        <v>0</v>
      </c>
      <c r="R1123" t="e">
        <v>#DIV/0!</v>
      </c>
      <c r="T1123">
        <v>0.54545454545454541</v>
      </c>
    </row>
    <row r="1124" spans="1:20" x14ac:dyDescent="0.3">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2269</v>
      </c>
      <c r="B1125" s="171" t="s">
        <v>2270</v>
      </c>
      <c r="C1125" s="171" t="s">
        <v>149</v>
      </c>
      <c r="D1125" s="171" t="s">
        <v>4</v>
      </c>
      <c r="E1125" s="11">
        <v>41306</v>
      </c>
      <c r="H1125" t="e">
        <v>#DIV/0!</v>
      </c>
      <c r="K1125" t="e">
        <v>#DIV/0!</v>
      </c>
      <c r="M1125" t="e">
        <v>#DIV/0!</v>
      </c>
      <c r="R1125" t="e">
        <v>#DIV/0!</v>
      </c>
    </row>
    <row r="1126" spans="1:20" x14ac:dyDescent="0.3">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x14ac:dyDescent="0.3">
      <c r="A1128" t="s">
        <v>2275</v>
      </c>
      <c r="B1128" s="171" t="s">
        <v>2276</v>
      </c>
      <c r="C1128" s="171" t="s">
        <v>158</v>
      </c>
      <c r="D1128" s="171" t="s">
        <v>4</v>
      </c>
      <c r="E1128" s="11">
        <v>41306</v>
      </c>
      <c r="H1128" t="e">
        <v>#DIV/0!</v>
      </c>
      <c r="K1128" t="e">
        <v>#DIV/0!</v>
      </c>
      <c r="M1128" t="e">
        <v>#DIV/0!</v>
      </c>
      <c r="R1128" t="e">
        <v>#DIV/0!</v>
      </c>
      <c r="T1128">
        <v>0.875</v>
      </c>
    </row>
    <row r="1129" spans="1:20" x14ac:dyDescent="0.3">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x14ac:dyDescent="0.3">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x14ac:dyDescent="0.3">
      <c r="A1131" t="s">
        <v>2281</v>
      </c>
      <c r="B1131" s="171" t="s">
        <v>2282</v>
      </c>
      <c r="C1131" s="171" t="s">
        <v>221</v>
      </c>
      <c r="D1131" s="171" t="s">
        <v>80</v>
      </c>
      <c r="E1131" s="11">
        <v>41306</v>
      </c>
      <c r="F1131">
        <v>1</v>
      </c>
      <c r="G1131">
        <v>1</v>
      </c>
      <c r="H1131">
        <v>1</v>
      </c>
      <c r="I1131">
        <v>0</v>
      </c>
      <c r="L1131">
        <v>0</v>
      </c>
      <c r="M1131" t="e">
        <v>#DIV/0!</v>
      </c>
      <c r="R1131" t="e">
        <v>#DIV/0!</v>
      </c>
    </row>
    <row r="1132" spans="1:20" x14ac:dyDescent="0.3">
      <c r="A1132" t="s">
        <v>2283</v>
      </c>
      <c r="B1132" s="171" t="s">
        <v>2284</v>
      </c>
      <c r="C1132" s="171" t="s">
        <v>224</v>
      </c>
      <c r="D1132" s="171" t="s">
        <v>4</v>
      </c>
      <c r="E1132" s="11">
        <v>41306</v>
      </c>
      <c r="H1132" t="e">
        <v>#DIV/0!</v>
      </c>
      <c r="K1132" t="e">
        <v>#DIV/0!</v>
      </c>
      <c r="M1132" t="e">
        <v>#DIV/0!</v>
      </c>
      <c r="R1132" t="e">
        <v>#DIV/0!</v>
      </c>
    </row>
    <row r="1133" spans="1:20" x14ac:dyDescent="0.3">
      <c r="A1133" t="s">
        <v>2285</v>
      </c>
      <c r="B1133" s="171" t="s">
        <v>2286</v>
      </c>
      <c r="C1133" s="171" t="s">
        <v>227</v>
      </c>
      <c r="D1133" s="171" t="s">
        <v>4</v>
      </c>
      <c r="E1133" s="11">
        <v>41306</v>
      </c>
      <c r="F1133">
        <v>1</v>
      </c>
      <c r="G1133">
        <v>1</v>
      </c>
      <c r="H1133">
        <v>1</v>
      </c>
      <c r="K1133" t="e">
        <v>#DIV/0!</v>
      </c>
      <c r="M1133" t="e">
        <v>#DIV/0!</v>
      </c>
      <c r="R1133" t="e">
        <v>#DIV/0!</v>
      </c>
    </row>
    <row r="1134" spans="1:20" x14ac:dyDescent="0.3">
      <c r="A1134" t="s">
        <v>2287</v>
      </c>
      <c r="B1134" s="171" t="s">
        <v>2288</v>
      </c>
      <c r="C1134" s="171" t="s">
        <v>230</v>
      </c>
      <c r="D1134" s="171" t="s">
        <v>4</v>
      </c>
      <c r="E1134" s="11">
        <v>41306</v>
      </c>
      <c r="H1134" t="e">
        <v>#DIV/0!</v>
      </c>
      <c r="K1134" t="e">
        <v>#DIV/0!</v>
      </c>
      <c r="M1134" t="e">
        <v>#DIV/0!</v>
      </c>
      <c r="R1134" t="e">
        <v>#DIV/0!</v>
      </c>
      <c r="T1134">
        <v>1.0119047619047621</v>
      </c>
    </row>
    <row r="1135" spans="1:20" x14ac:dyDescent="0.3">
      <c r="A1135" t="s">
        <v>2289</v>
      </c>
      <c r="B1135" s="171" t="s">
        <v>2290</v>
      </c>
      <c r="C1135" s="171" t="s">
        <v>73</v>
      </c>
      <c r="D1135" s="171" t="s">
        <v>4</v>
      </c>
      <c r="E1135" s="11">
        <v>41334</v>
      </c>
    </row>
    <row r="1136" spans="1:20" x14ac:dyDescent="0.3">
      <c r="A1136" t="s">
        <v>2291</v>
      </c>
      <c r="B1136" s="171" t="s">
        <v>2292</v>
      </c>
      <c r="C1136" s="171" t="s">
        <v>76</v>
      </c>
      <c r="D1136" s="171" t="s">
        <v>4</v>
      </c>
      <c r="E1136" s="11">
        <v>41334</v>
      </c>
      <c r="T1136">
        <v>1.0625</v>
      </c>
    </row>
    <row r="1137" spans="1:20" x14ac:dyDescent="0.3">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x14ac:dyDescent="0.3">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x14ac:dyDescent="0.3">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x14ac:dyDescent="0.3">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x14ac:dyDescent="0.3">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2315</v>
      </c>
      <c r="B1148" s="171" t="s">
        <v>2316</v>
      </c>
      <c r="C1148" s="171" t="s">
        <v>113</v>
      </c>
      <c r="D1148" s="171" t="s">
        <v>80</v>
      </c>
      <c r="E1148" s="11">
        <v>41334</v>
      </c>
      <c r="F1148">
        <v>3</v>
      </c>
      <c r="G1148">
        <v>4</v>
      </c>
      <c r="H1148">
        <v>0.75</v>
      </c>
      <c r="K1148" t="e">
        <v>#DIV/0!</v>
      </c>
      <c r="L1148">
        <v>20</v>
      </c>
      <c r="M1148">
        <v>0</v>
      </c>
      <c r="R1148">
        <v>0</v>
      </c>
      <c r="T1148">
        <v>0.75</v>
      </c>
    </row>
    <row r="1149" spans="1:20" x14ac:dyDescent="0.3">
      <c r="A1149" t="s">
        <v>2317</v>
      </c>
      <c r="B1149" s="171" t="s">
        <v>2318</v>
      </c>
      <c r="C1149" s="171" t="s">
        <v>116</v>
      </c>
      <c r="D1149" s="171" t="s">
        <v>80</v>
      </c>
      <c r="E1149" s="11">
        <v>41334</v>
      </c>
      <c r="H1149" t="e">
        <v>#DIV/0!</v>
      </c>
      <c r="K1149" t="e">
        <v>#DIV/0!</v>
      </c>
      <c r="M1149" t="e">
        <v>#DIV/0!</v>
      </c>
      <c r="R1149" t="e">
        <v>#DIV/0!</v>
      </c>
      <c r="T1149">
        <v>0.8666666666666667</v>
      </c>
    </row>
    <row r="1150" spans="1:20" x14ac:dyDescent="0.3">
      <c r="A1150" t="s">
        <v>2319</v>
      </c>
      <c r="B1150" s="171" t="s">
        <v>2320</v>
      </c>
      <c r="C1150" s="171" t="s">
        <v>119</v>
      </c>
      <c r="D1150" s="171" t="s">
        <v>80</v>
      </c>
      <c r="E1150" s="11">
        <v>41334</v>
      </c>
      <c r="T1150">
        <v>0.65</v>
      </c>
    </row>
    <row r="1151" spans="1:20" x14ac:dyDescent="0.3">
      <c r="A1151" t="s">
        <v>2321</v>
      </c>
      <c r="B1151" s="171" t="s">
        <v>2322</v>
      </c>
      <c r="C1151" s="171" t="s">
        <v>122</v>
      </c>
      <c r="D1151" s="171" t="s">
        <v>4</v>
      </c>
      <c r="E1151" s="11">
        <v>41334</v>
      </c>
    </row>
    <row r="1152" spans="1:20" x14ac:dyDescent="0.3">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2327</v>
      </c>
      <c r="B1154" s="171" t="s">
        <v>2328</v>
      </c>
      <c r="C1154" s="171" t="s">
        <v>131</v>
      </c>
      <c r="D1154" s="171" t="s">
        <v>80</v>
      </c>
      <c r="E1154" s="11">
        <v>41334</v>
      </c>
      <c r="F1154">
        <v>6</v>
      </c>
      <c r="G1154">
        <v>4</v>
      </c>
      <c r="H1154">
        <v>1.5</v>
      </c>
      <c r="K1154" t="e">
        <v>#DIV/0!</v>
      </c>
      <c r="L1154">
        <v>27.5</v>
      </c>
      <c r="M1154">
        <v>0</v>
      </c>
      <c r="T1154">
        <v>0.25</v>
      </c>
    </row>
    <row r="1155" spans="1:20" x14ac:dyDescent="0.3">
      <c r="A1155" t="s">
        <v>2329</v>
      </c>
      <c r="B1155" s="171" t="s">
        <v>2330</v>
      </c>
      <c r="C1155" s="171" t="s">
        <v>134</v>
      </c>
      <c r="D1155" s="171" t="s">
        <v>80</v>
      </c>
      <c r="E1155" s="11">
        <v>41334</v>
      </c>
      <c r="H1155" t="e">
        <v>#DIV/0!</v>
      </c>
      <c r="K1155" t="e">
        <v>#DIV/0!</v>
      </c>
      <c r="M1155" t="e">
        <v>#DIV/0!</v>
      </c>
      <c r="R1155" t="e">
        <v>#DIV/0!</v>
      </c>
    </row>
    <row r="1156" spans="1:20" x14ac:dyDescent="0.3">
      <c r="A1156" t="s">
        <v>2331</v>
      </c>
      <c r="B1156" s="171" t="s">
        <v>2332</v>
      </c>
      <c r="C1156" s="171" t="s">
        <v>137</v>
      </c>
      <c r="D1156" s="171" t="s">
        <v>4</v>
      </c>
      <c r="E1156" s="11">
        <v>41334</v>
      </c>
      <c r="R1156" t="e">
        <v>#DIV/0!</v>
      </c>
    </row>
    <row r="1157" spans="1:20" x14ac:dyDescent="0.3">
      <c r="A1157" t="s">
        <v>2333</v>
      </c>
      <c r="B1157" s="171" t="s">
        <v>2334</v>
      </c>
      <c r="C1157" s="171" t="s">
        <v>140</v>
      </c>
      <c r="D1157" s="171" t="s">
        <v>80</v>
      </c>
      <c r="E1157" s="11">
        <v>41334</v>
      </c>
      <c r="R1157" t="e">
        <v>#DIV/0!</v>
      </c>
    </row>
    <row r="1158" spans="1:20" x14ac:dyDescent="0.3">
      <c r="A1158" t="s">
        <v>2335</v>
      </c>
      <c r="B1158" s="171" t="s">
        <v>2336</v>
      </c>
      <c r="C1158" s="171" t="s">
        <v>143</v>
      </c>
      <c r="D1158" s="171" t="s">
        <v>80</v>
      </c>
      <c r="E1158" s="11">
        <v>41334</v>
      </c>
      <c r="H1158" t="e">
        <v>#DIV/0!</v>
      </c>
      <c r="K1158" t="e">
        <v>#DIV/0!</v>
      </c>
      <c r="M1158" t="e">
        <v>#DIV/0!</v>
      </c>
      <c r="N1158">
        <v>0</v>
      </c>
      <c r="R1158" t="e">
        <v>#DIV/0!</v>
      </c>
    </row>
    <row r="1159" spans="1:20" x14ac:dyDescent="0.3">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2339</v>
      </c>
      <c r="B1160" s="171" t="s">
        <v>2340</v>
      </c>
      <c r="C1160" s="171" t="s">
        <v>149</v>
      </c>
      <c r="D1160" s="171" t="s">
        <v>80</v>
      </c>
      <c r="E1160" s="11">
        <v>41334</v>
      </c>
    </row>
    <row r="1161" spans="1:20" x14ac:dyDescent="0.3">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x14ac:dyDescent="0.3">
      <c r="A1163" t="s">
        <v>2345</v>
      </c>
      <c r="B1163" s="171" t="s">
        <v>2346</v>
      </c>
      <c r="C1163" s="171" t="s">
        <v>158</v>
      </c>
      <c r="D1163" s="171" t="s">
        <v>80</v>
      </c>
      <c r="E1163" s="11">
        <v>41334</v>
      </c>
      <c r="T1163">
        <v>0.83790769230769224</v>
      </c>
    </row>
    <row r="1164" spans="1:20" x14ac:dyDescent="0.3">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2349</v>
      </c>
      <c r="B1165" s="171" t="s">
        <v>2350</v>
      </c>
      <c r="C1165" s="171" t="s">
        <v>164</v>
      </c>
      <c r="D1165" s="171" t="s">
        <v>80</v>
      </c>
      <c r="E1165" s="11">
        <v>41334</v>
      </c>
      <c r="T1165">
        <v>0.98599999999999999</v>
      </c>
    </row>
    <row r="1166" spans="1:20" x14ac:dyDescent="0.3">
      <c r="A1166" t="s">
        <v>2351</v>
      </c>
      <c r="B1166" s="171" t="s">
        <v>2352</v>
      </c>
      <c r="C1166" s="171" t="s">
        <v>167</v>
      </c>
      <c r="D1166" s="171" t="s">
        <v>4</v>
      </c>
      <c r="E1166" s="11">
        <v>41334</v>
      </c>
      <c r="R1166" t="e">
        <v>#DIV/0!</v>
      </c>
    </row>
    <row r="1167" spans="1:20" x14ac:dyDescent="0.3">
      <c r="A1167" t="s">
        <v>2353</v>
      </c>
      <c r="B1167" s="171" t="s">
        <v>2354</v>
      </c>
      <c r="C1167" s="171" t="s">
        <v>170</v>
      </c>
      <c r="D1167" s="171" t="s">
        <v>80</v>
      </c>
      <c r="E1167" s="11">
        <v>41334</v>
      </c>
      <c r="R1167" t="e">
        <v>#DIV/0!</v>
      </c>
    </row>
    <row r="1168" spans="1:20" x14ac:dyDescent="0.3">
      <c r="A1168" t="s">
        <v>2355</v>
      </c>
      <c r="B1168" s="171" t="s">
        <v>2356</v>
      </c>
      <c r="C1168" s="171" t="s">
        <v>173</v>
      </c>
      <c r="D1168" s="171" t="s">
        <v>80</v>
      </c>
      <c r="E1168" s="11">
        <v>41334</v>
      </c>
      <c r="I1168">
        <v>9</v>
      </c>
      <c r="N1168">
        <v>6</v>
      </c>
      <c r="P1168">
        <v>0</v>
      </c>
      <c r="Q1168">
        <v>1</v>
      </c>
      <c r="R1168">
        <v>0</v>
      </c>
      <c r="S1168">
        <v>3</v>
      </c>
      <c r="T1168">
        <v>0</v>
      </c>
    </row>
    <row r="1169" spans="1:20" x14ac:dyDescent="0.3">
      <c r="A1169" t="s">
        <v>2357</v>
      </c>
      <c r="B1169" s="171" t="s">
        <v>2358</v>
      </c>
      <c r="C1169" s="171" t="s">
        <v>176</v>
      </c>
      <c r="D1169" s="171" t="s">
        <v>80</v>
      </c>
      <c r="E1169" s="11">
        <v>41334</v>
      </c>
      <c r="I1169">
        <v>9</v>
      </c>
      <c r="N1169">
        <v>6</v>
      </c>
      <c r="P1169">
        <v>0</v>
      </c>
      <c r="Q1169">
        <v>1</v>
      </c>
      <c r="R1169">
        <v>0</v>
      </c>
      <c r="S1169">
        <v>3</v>
      </c>
      <c r="T1169">
        <v>0</v>
      </c>
    </row>
    <row r="1170" spans="1:20" x14ac:dyDescent="0.3">
      <c r="A1170" t="s">
        <v>2359</v>
      </c>
      <c r="B1170" s="171" t="s">
        <v>2360</v>
      </c>
      <c r="C1170" s="171" t="s">
        <v>179</v>
      </c>
      <c r="D1170" s="171" t="s">
        <v>4</v>
      </c>
      <c r="E1170" s="11">
        <v>41334</v>
      </c>
      <c r="R1170" t="e">
        <v>#DIV/0!</v>
      </c>
      <c r="T1170">
        <v>1.0499999999999998</v>
      </c>
    </row>
    <row r="1171" spans="1:20" x14ac:dyDescent="0.3">
      <c r="A1171" t="s">
        <v>2361</v>
      </c>
      <c r="B1171" s="171" t="s">
        <v>2362</v>
      </c>
      <c r="C1171" s="171" t="s">
        <v>182</v>
      </c>
      <c r="D1171" s="171" t="s">
        <v>80</v>
      </c>
      <c r="E1171" s="11">
        <v>41334</v>
      </c>
      <c r="R1171" t="e">
        <v>#DIV/0!</v>
      </c>
      <c r="T1171">
        <v>0.80400000000000005</v>
      </c>
    </row>
    <row r="1172" spans="1:20" x14ac:dyDescent="0.3">
      <c r="A1172" t="s">
        <v>2363</v>
      </c>
      <c r="B1172" s="171" t="s">
        <v>2364</v>
      </c>
      <c r="C1172" s="171" t="s">
        <v>185</v>
      </c>
      <c r="D1172" s="171" t="s">
        <v>4</v>
      </c>
      <c r="E1172" s="11">
        <v>41334</v>
      </c>
      <c r="T1172">
        <v>0.98499999999999999</v>
      </c>
    </row>
    <row r="1173" spans="1:20" x14ac:dyDescent="0.3">
      <c r="A1173" t="s">
        <v>2365</v>
      </c>
      <c r="B1173" s="171" t="s">
        <v>2366</v>
      </c>
      <c r="C1173" s="171" t="s">
        <v>188</v>
      </c>
      <c r="D1173" s="171" t="s">
        <v>80</v>
      </c>
      <c r="E1173" s="11">
        <v>41334</v>
      </c>
      <c r="T1173">
        <v>0.625</v>
      </c>
    </row>
    <row r="1174" spans="1:20" x14ac:dyDescent="0.3">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2371</v>
      </c>
      <c r="B1176" s="171" t="s">
        <v>2372</v>
      </c>
      <c r="C1176" s="171" t="s">
        <v>197</v>
      </c>
      <c r="D1176" s="171" t="s">
        <v>80</v>
      </c>
      <c r="E1176" s="11">
        <v>41334</v>
      </c>
      <c r="H1176" t="e">
        <v>#DIV/0!</v>
      </c>
      <c r="K1176" t="e">
        <v>#DIV/0!</v>
      </c>
      <c r="M1176" t="e">
        <v>#DIV/0!</v>
      </c>
      <c r="R1176" t="e">
        <v>#DIV/0!</v>
      </c>
      <c r="T1176">
        <v>0.83591594202898545</v>
      </c>
    </row>
    <row r="1177" spans="1:20" x14ac:dyDescent="0.3">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x14ac:dyDescent="0.3">
      <c r="A1178" t="s">
        <v>2375</v>
      </c>
      <c r="B1178" s="171" t="s">
        <v>2376</v>
      </c>
      <c r="C1178" s="171" t="s">
        <v>203</v>
      </c>
      <c r="D1178" s="171" t="s">
        <v>80</v>
      </c>
      <c r="E1178" s="11">
        <v>41334</v>
      </c>
      <c r="T1178">
        <v>1.1000000000000001</v>
      </c>
    </row>
    <row r="1179" spans="1:20" x14ac:dyDescent="0.3">
      <c r="A1179" t="s">
        <v>2377</v>
      </c>
      <c r="B1179" s="171" t="s">
        <v>2378</v>
      </c>
      <c r="C1179" s="171" t="s">
        <v>206</v>
      </c>
      <c r="D1179" s="171" t="s">
        <v>80</v>
      </c>
      <c r="E1179" s="11">
        <v>41334</v>
      </c>
      <c r="I1179">
        <v>12</v>
      </c>
      <c r="P1179">
        <v>0</v>
      </c>
      <c r="Q1179">
        <v>1</v>
      </c>
      <c r="R1179">
        <v>0</v>
      </c>
      <c r="T1179">
        <v>0.125</v>
      </c>
    </row>
    <row r="1180" spans="1:20" x14ac:dyDescent="0.3">
      <c r="A1180" t="s">
        <v>2379</v>
      </c>
      <c r="B1180" s="171" t="s">
        <v>2380</v>
      </c>
      <c r="C1180" s="171" t="s">
        <v>209</v>
      </c>
      <c r="D1180" s="171" t="s">
        <v>80</v>
      </c>
      <c r="E1180" s="11">
        <v>41334</v>
      </c>
    </row>
    <row r="1181" spans="1:20" x14ac:dyDescent="0.3">
      <c r="A1181" t="s">
        <v>2381</v>
      </c>
      <c r="B1181" s="171" t="s">
        <v>2382</v>
      </c>
      <c r="C1181" s="171" t="s">
        <v>212</v>
      </c>
      <c r="D1181" s="171" t="s">
        <v>4</v>
      </c>
      <c r="E1181" s="11">
        <v>41334</v>
      </c>
    </row>
    <row r="1182" spans="1:20" x14ac:dyDescent="0.3">
      <c r="A1182" t="s">
        <v>2383</v>
      </c>
      <c r="B1182" s="171" t="s">
        <v>2384</v>
      </c>
      <c r="C1182" s="171" t="s">
        <v>215</v>
      </c>
      <c r="D1182" s="171" t="s">
        <v>4</v>
      </c>
      <c r="E1182" s="11">
        <v>41334</v>
      </c>
      <c r="R1182" t="e">
        <v>#DIV/0!</v>
      </c>
    </row>
    <row r="1183" spans="1:20" x14ac:dyDescent="0.3">
      <c r="A1183" t="s">
        <v>2385</v>
      </c>
      <c r="B1183" s="171" t="s">
        <v>2386</v>
      </c>
      <c r="C1183" s="171" t="s">
        <v>218</v>
      </c>
      <c r="D1183" s="171" t="s">
        <v>80</v>
      </c>
      <c r="E1183" s="11">
        <v>41334</v>
      </c>
      <c r="R1183" t="e">
        <v>#DIV/0!</v>
      </c>
      <c r="T1183">
        <v>1.0652173913043479</v>
      </c>
    </row>
    <row r="1184" spans="1:20" x14ac:dyDescent="0.3">
      <c r="A1184" t="s">
        <v>2387</v>
      </c>
      <c r="B1184" s="171" t="s">
        <v>2388</v>
      </c>
      <c r="C1184" s="171" t="s">
        <v>221</v>
      </c>
      <c r="D1184" s="171" t="s">
        <v>4</v>
      </c>
      <c r="E1184" s="11">
        <v>41334</v>
      </c>
      <c r="F1184">
        <v>0</v>
      </c>
      <c r="G1184">
        <v>0</v>
      </c>
      <c r="I1184">
        <v>0</v>
      </c>
      <c r="L1184">
        <v>0</v>
      </c>
      <c r="T1184">
        <v>0.97500000000000009</v>
      </c>
    </row>
    <row r="1185" spans="1:20" x14ac:dyDescent="0.3">
      <c r="A1185" t="s">
        <v>2389</v>
      </c>
      <c r="B1185" s="171" t="s">
        <v>2390</v>
      </c>
      <c r="C1185" s="171" t="s">
        <v>224</v>
      </c>
      <c r="D1185" s="171" t="s">
        <v>80</v>
      </c>
      <c r="E1185" s="11">
        <v>41334</v>
      </c>
      <c r="T1185">
        <v>0.86956521739130432</v>
      </c>
    </row>
    <row r="1186" spans="1:20" x14ac:dyDescent="0.3">
      <c r="A1186" t="s">
        <v>2391</v>
      </c>
      <c r="B1186" s="171" t="s">
        <v>2392</v>
      </c>
      <c r="C1186" s="171" t="s">
        <v>227</v>
      </c>
      <c r="D1186" s="171" t="s">
        <v>80</v>
      </c>
      <c r="E1186" s="11">
        <v>41334</v>
      </c>
    </row>
    <row r="1187" spans="1:20" x14ac:dyDescent="0.3">
      <c r="A1187" t="s">
        <v>2393</v>
      </c>
      <c r="B1187" s="171" t="s">
        <v>2394</v>
      </c>
      <c r="C1187" s="171" t="s">
        <v>230</v>
      </c>
      <c r="D1187" s="171" t="s">
        <v>80</v>
      </c>
      <c r="E1187" s="11">
        <v>41334</v>
      </c>
    </row>
    <row r="1188" spans="1:20" x14ac:dyDescent="0.3">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2401</v>
      </c>
      <c r="B1191" s="171" t="s">
        <v>2402</v>
      </c>
      <c r="C1191" s="171" t="s">
        <v>76</v>
      </c>
      <c r="D1191" s="171" t="s">
        <v>80</v>
      </c>
      <c r="E1191" s="11">
        <v>41334</v>
      </c>
    </row>
    <row r="1192" spans="1:20" x14ac:dyDescent="0.3">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2413</v>
      </c>
      <c r="B1197" s="171" t="s">
        <v>2414</v>
      </c>
      <c r="C1197" s="171" t="s">
        <v>101</v>
      </c>
      <c r="D1197" s="171" t="s">
        <v>4</v>
      </c>
      <c r="E1197" s="11">
        <v>41334</v>
      </c>
      <c r="F1197">
        <v>0</v>
      </c>
      <c r="G1197">
        <v>0</v>
      </c>
      <c r="I1197">
        <v>0</v>
      </c>
      <c r="J1197">
        <v>0</v>
      </c>
      <c r="L1197">
        <v>0</v>
      </c>
      <c r="P1197">
        <v>0</v>
      </c>
      <c r="Q1197">
        <v>0</v>
      </c>
      <c r="R1197" t="e">
        <v>#DIV/0!</v>
      </c>
    </row>
    <row r="1198" spans="1:20" x14ac:dyDescent="0.3">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2419</v>
      </c>
      <c r="B1200" s="171" t="s">
        <v>2420</v>
      </c>
      <c r="C1200" s="171" t="s">
        <v>113</v>
      </c>
      <c r="D1200" s="171" t="s">
        <v>4</v>
      </c>
      <c r="E1200" s="11">
        <v>41334</v>
      </c>
      <c r="F1200">
        <v>3</v>
      </c>
      <c r="G1200">
        <v>4</v>
      </c>
      <c r="H1200">
        <v>0.75</v>
      </c>
      <c r="K1200" t="e">
        <v>#DIV/0!</v>
      </c>
      <c r="L1200">
        <v>20</v>
      </c>
      <c r="M1200">
        <v>0</v>
      </c>
      <c r="R1200">
        <v>0</v>
      </c>
      <c r="T1200">
        <v>1</v>
      </c>
    </row>
    <row r="1201" spans="1:20" x14ac:dyDescent="0.3">
      <c r="A1201" t="s">
        <v>2421</v>
      </c>
      <c r="B1201" s="171" t="s">
        <v>2422</v>
      </c>
      <c r="C1201" s="171" t="s">
        <v>116</v>
      </c>
      <c r="D1201" s="171" t="s">
        <v>4</v>
      </c>
      <c r="E1201" s="11">
        <v>41334</v>
      </c>
      <c r="H1201" t="e">
        <v>#DIV/0!</v>
      </c>
      <c r="K1201" t="e">
        <v>#DIV/0!</v>
      </c>
      <c r="M1201" t="e">
        <v>#DIV/0!</v>
      </c>
      <c r="R1201" t="e">
        <v>#DIV/0!</v>
      </c>
    </row>
    <row r="1202" spans="1:20" x14ac:dyDescent="0.3">
      <c r="A1202" t="s">
        <v>2423</v>
      </c>
      <c r="B1202" s="171" t="s">
        <v>2424</v>
      </c>
      <c r="C1202" s="171" t="s">
        <v>119</v>
      </c>
      <c r="D1202" s="171" t="s">
        <v>4</v>
      </c>
      <c r="E1202" s="11">
        <v>41334</v>
      </c>
    </row>
    <row r="1203" spans="1:20" x14ac:dyDescent="0.3">
      <c r="A1203" t="s">
        <v>2425</v>
      </c>
      <c r="B1203" s="171" t="s">
        <v>2426</v>
      </c>
      <c r="C1203" s="171" t="s">
        <v>122</v>
      </c>
      <c r="D1203" s="171" t="s">
        <v>80</v>
      </c>
      <c r="E1203" s="11">
        <v>41334</v>
      </c>
      <c r="T1203">
        <v>0.83333333333333337</v>
      </c>
    </row>
    <row r="1204" spans="1:20" x14ac:dyDescent="0.3">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2431</v>
      </c>
      <c r="B1206" s="171" t="s">
        <v>2432</v>
      </c>
      <c r="C1206" s="171" t="s">
        <v>131</v>
      </c>
      <c r="D1206" s="171" t="s">
        <v>4</v>
      </c>
      <c r="E1206" s="11">
        <v>41334</v>
      </c>
      <c r="F1206">
        <v>6</v>
      </c>
      <c r="G1206">
        <v>4</v>
      </c>
      <c r="H1206">
        <v>1.5</v>
      </c>
      <c r="K1206" t="e">
        <v>#DIV/0!</v>
      </c>
      <c r="L1206">
        <v>27.5</v>
      </c>
      <c r="M1206">
        <v>0</v>
      </c>
      <c r="T1206">
        <v>0.95</v>
      </c>
    </row>
    <row r="1207" spans="1:20" x14ac:dyDescent="0.3">
      <c r="A1207" t="s">
        <v>2433</v>
      </c>
      <c r="B1207" s="171" t="s">
        <v>2434</v>
      </c>
      <c r="C1207" s="171" t="s">
        <v>134</v>
      </c>
      <c r="D1207" s="171" t="s">
        <v>4</v>
      </c>
      <c r="E1207" s="11">
        <v>41334</v>
      </c>
      <c r="H1207" t="e">
        <v>#DIV/0!</v>
      </c>
      <c r="K1207" t="e">
        <v>#DIV/0!</v>
      </c>
      <c r="M1207" t="e">
        <v>#DIV/0!</v>
      </c>
      <c r="R1207" t="e">
        <v>#DIV/0!</v>
      </c>
    </row>
    <row r="1208" spans="1:20" x14ac:dyDescent="0.3">
      <c r="A1208" t="s">
        <v>2435</v>
      </c>
      <c r="B1208" s="171" t="s">
        <v>2436</v>
      </c>
      <c r="C1208" s="171" t="s">
        <v>137</v>
      </c>
      <c r="D1208" s="171" t="s">
        <v>80</v>
      </c>
      <c r="E1208" s="11">
        <v>41334</v>
      </c>
      <c r="R1208" t="e">
        <v>#DIV/0!</v>
      </c>
      <c r="T1208">
        <v>0.11363636363636363</v>
      </c>
    </row>
    <row r="1209" spans="1:20" x14ac:dyDescent="0.3">
      <c r="A1209" t="s">
        <v>2437</v>
      </c>
      <c r="B1209" s="171" t="s">
        <v>2438</v>
      </c>
      <c r="C1209" s="171" t="s">
        <v>140</v>
      </c>
      <c r="D1209" s="171" t="s">
        <v>4</v>
      </c>
      <c r="E1209" s="11">
        <v>41334</v>
      </c>
      <c r="R1209" t="e">
        <v>#DIV/0!</v>
      </c>
    </row>
    <row r="1210" spans="1:20" x14ac:dyDescent="0.3">
      <c r="A1210" t="s">
        <v>2439</v>
      </c>
      <c r="B1210" s="171" t="s">
        <v>2440</v>
      </c>
      <c r="C1210" s="171" t="s">
        <v>167</v>
      </c>
      <c r="D1210" s="171" t="s">
        <v>80</v>
      </c>
      <c r="E1210" s="11">
        <v>41334</v>
      </c>
      <c r="R1210" t="e">
        <v>#DIV/0!</v>
      </c>
      <c r="T1210">
        <v>0.25</v>
      </c>
    </row>
    <row r="1211" spans="1:20" x14ac:dyDescent="0.3">
      <c r="A1211" t="s">
        <v>2441</v>
      </c>
      <c r="B1211" s="171" t="s">
        <v>2442</v>
      </c>
      <c r="C1211" s="171" t="s">
        <v>170</v>
      </c>
      <c r="D1211" s="171" t="s">
        <v>4</v>
      </c>
      <c r="E1211" s="11">
        <v>41334</v>
      </c>
      <c r="R1211" t="e">
        <v>#DIV/0!</v>
      </c>
    </row>
    <row r="1212" spans="1:20" x14ac:dyDescent="0.3">
      <c r="A1212" t="s">
        <v>2443</v>
      </c>
      <c r="B1212" s="171" t="s">
        <v>2444</v>
      </c>
      <c r="C1212" s="171" t="s">
        <v>179</v>
      </c>
      <c r="D1212" s="171" t="s">
        <v>80</v>
      </c>
      <c r="E1212" s="11">
        <v>41334</v>
      </c>
      <c r="R1212" t="e">
        <v>#DIV/0!</v>
      </c>
    </row>
    <row r="1213" spans="1:20" x14ac:dyDescent="0.3">
      <c r="A1213" t="s">
        <v>2445</v>
      </c>
      <c r="B1213" s="171" t="s">
        <v>2446</v>
      </c>
      <c r="C1213" s="171" t="s">
        <v>182</v>
      </c>
      <c r="D1213" s="171" t="s">
        <v>4</v>
      </c>
      <c r="E1213" s="11">
        <v>41334</v>
      </c>
      <c r="R1213" t="e">
        <v>#DIV/0!</v>
      </c>
    </row>
    <row r="1214" spans="1:20" x14ac:dyDescent="0.3">
      <c r="A1214" t="s">
        <v>2447</v>
      </c>
      <c r="B1214" s="171" t="s">
        <v>2448</v>
      </c>
      <c r="C1214" s="171" t="s">
        <v>185</v>
      </c>
      <c r="D1214" s="171" t="s">
        <v>80</v>
      </c>
      <c r="E1214" s="11">
        <v>41334</v>
      </c>
    </row>
    <row r="1215" spans="1:20" x14ac:dyDescent="0.3">
      <c r="A1215" t="s">
        <v>2449</v>
      </c>
      <c r="B1215" s="171" t="s">
        <v>2450</v>
      </c>
      <c r="C1215" s="171" t="s">
        <v>188</v>
      </c>
      <c r="D1215" s="171" t="s">
        <v>4</v>
      </c>
      <c r="E1215" s="11">
        <v>41334</v>
      </c>
      <c r="T1215">
        <v>0</v>
      </c>
    </row>
    <row r="1216" spans="1:20" x14ac:dyDescent="0.3">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2455</v>
      </c>
      <c r="B1218" s="171" t="s">
        <v>2456</v>
      </c>
      <c r="C1218" s="171" t="s">
        <v>197</v>
      </c>
      <c r="D1218" s="171" t="s">
        <v>4</v>
      </c>
      <c r="E1218" s="11">
        <v>41334</v>
      </c>
      <c r="H1218" t="e">
        <v>#DIV/0!</v>
      </c>
      <c r="K1218" t="e">
        <v>#DIV/0!</v>
      </c>
      <c r="M1218" t="e">
        <v>#DIV/0!</v>
      </c>
      <c r="R1218" t="e">
        <v>#DIV/0!</v>
      </c>
    </row>
    <row r="1219" spans="1:20" x14ac:dyDescent="0.3">
      <c r="A1219" t="s">
        <v>2457</v>
      </c>
      <c r="B1219" s="171" t="s">
        <v>2458</v>
      </c>
      <c r="C1219" s="171" t="s">
        <v>209</v>
      </c>
      <c r="D1219" s="171" t="s">
        <v>4</v>
      </c>
      <c r="E1219" s="11">
        <v>41334</v>
      </c>
      <c r="T1219">
        <v>0.85226666666666673</v>
      </c>
    </row>
    <row r="1220" spans="1:20" x14ac:dyDescent="0.3">
      <c r="A1220" t="s">
        <v>2459</v>
      </c>
      <c r="B1220" s="171" t="s">
        <v>2460</v>
      </c>
      <c r="C1220" s="171" t="s">
        <v>212</v>
      </c>
      <c r="D1220" s="171" t="s">
        <v>80</v>
      </c>
      <c r="E1220" s="11">
        <v>41334</v>
      </c>
      <c r="T1220">
        <v>0.80400000000000005</v>
      </c>
    </row>
    <row r="1221" spans="1:20" x14ac:dyDescent="0.3">
      <c r="A1221" t="s">
        <v>2461</v>
      </c>
      <c r="B1221" s="171" t="s">
        <v>2462</v>
      </c>
      <c r="C1221" s="171" t="s">
        <v>215</v>
      </c>
      <c r="D1221" s="171" t="s">
        <v>80</v>
      </c>
      <c r="E1221" s="11">
        <v>41334</v>
      </c>
      <c r="R1221" t="e">
        <v>#DIV/0!</v>
      </c>
      <c r="T1221">
        <v>0.98499999999999999</v>
      </c>
    </row>
    <row r="1222" spans="1:20" x14ac:dyDescent="0.3">
      <c r="A1222" t="s">
        <v>2463</v>
      </c>
      <c r="B1222" s="171" t="s">
        <v>2464</v>
      </c>
      <c r="C1222" s="171" t="s">
        <v>218</v>
      </c>
      <c r="D1222" s="171" t="s">
        <v>4</v>
      </c>
      <c r="E1222" s="11">
        <v>41334</v>
      </c>
      <c r="R1222" t="e">
        <v>#DIV/0!</v>
      </c>
    </row>
    <row r="1223" spans="1:20" x14ac:dyDescent="0.3">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2471</v>
      </c>
      <c r="B1226" s="171" t="s">
        <v>2472</v>
      </c>
      <c r="C1226" s="171" t="s">
        <v>143</v>
      </c>
      <c r="D1226" s="171" t="s">
        <v>4</v>
      </c>
      <c r="E1226" s="11">
        <v>41334</v>
      </c>
      <c r="H1226" t="e">
        <v>#DIV/0!</v>
      </c>
      <c r="K1226" t="e">
        <v>#DIV/0!</v>
      </c>
      <c r="M1226" t="e">
        <v>#DIV/0!</v>
      </c>
      <c r="N1226">
        <v>0</v>
      </c>
      <c r="R1226" t="e">
        <v>#DIV/0!</v>
      </c>
      <c r="T1226">
        <v>0.97500000000000009</v>
      </c>
    </row>
    <row r="1227" spans="1:20" x14ac:dyDescent="0.3">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2475</v>
      </c>
      <c r="B1228" s="171" t="s">
        <v>2476</v>
      </c>
      <c r="C1228" s="171" t="s">
        <v>149</v>
      </c>
      <c r="D1228" s="171" t="s">
        <v>4</v>
      </c>
      <c r="E1228" s="11">
        <v>41334</v>
      </c>
      <c r="T1228">
        <v>0.98540000000000005</v>
      </c>
    </row>
    <row r="1229" spans="1:20" x14ac:dyDescent="0.3">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x14ac:dyDescent="0.3">
      <c r="A1231" t="s">
        <v>2481</v>
      </c>
      <c r="B1231" s="171" t="s">
        <v>2482</v>
      </c>
      <c r="C1231" s="171" t="s">
        <v>158</v>
      </c>
      <c r="D1231" s="171" t="s">
        <v>4</v>
      </c>
      <c r="E1231" s="11">
        <v>41334</v>
      </c>
      <c r="T1231">
        <v>0</v>
      </c>
    </row>
    <row r="1232" spans="1:20" x14ac:dyDescent="0.3">
      <c r="A1232" t="s">
        <v>2483</v>
      </c>
      <c r="B1232" s="171" t="s">
        <v>2484</v>
      </c>
      <c r="C1232" s="171" t="s">
        <v>164</v>
      </c>
      <c r="D1232" s="171" t="s">
        <v>4</v>
      </c>
      <c r="E1232" s="11">
        <v>41334</v>
      </c>
      <c r="T1232">
        <v>0.84062989417989431</v>
      </c>
    </row>
    <row r="1233" spans="1:20" x14ac:dyDescent="0.3">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2487</v>
      </c>
      <c r="B1234" s="171" t="s">
        <v>2488</v>
      </c>
      <c r="C1234" s="171" t="s">
        <v>221</v>
      </c>
      <c r="D1234" s="171" t="s">
        <v>80</v>
      </c>
      <c r="E1234" s="11">
        <v>41334</v>
      </c>
      <c r="F1234">
        <v>0</v>
      </c>
      <c r="G1234">
        <v>0</v>
      </c>
      <c r="I1234">
        <v>0</v>
      </c>
      <c r="L1234">
        <v>0</v>
      </c>
      <c r="T1234">
        <v>1.05</v>
      </c>
    </row>
    <row r="1235" spans="1:20" x14ac:dyDescent="0.3">
      <c r="A1235" t="s">
        <v>2489</v>
      </c>
      <c r="B1235" s="171" t="s">
        <v>2490</v>
      </c>
      <c r="C1235" s="171" t="s">
        <v>224</v>
      </c>
      <c r="D1235" s="171" t="s">
        <v>4</v>
      </c>
      <c r="E1235" s="11">
        <v>41334</v>
      </c>
      <c r="T1235">
        <v>0.14285714285714285</v>
      </c>
    </row>
    <row r="1236" spans="1:20" x14ac:dyDescent="0.3">
      <c r="A1236" t="s">
        <v>2491</v>
      </c>
      <c r="B1236" s="171" t="s">
        <v>2492</v>
      </c>
      <c r="C1236" s="171" t="s">
        <v>227</v>
      </c>
      <c r="D1236" s="171" t="s">
        <v>4</v>
      </c>
      <c r="E1236" s="11">
        <v>41334</v>
      </c>
    </row>
    <row r="1237" spans="1:20" x14ac:dyDescent="0.3">
      <c r="A1237" t="s">
        <v>2493</v>
      </c>
      <c r="B1237" s="171" t="s">
        <v>2494</v>
      </c>
      <c r="C1237" s="171" t="s">
        <v>230</v>
      </c>
      <c r="D1237" s="171" t="s">
        <v>4</v>
      </c>
      <c r="E1237" s="11">
        <v>41334</v>
      </c>
    </row>
    <row r="1238" spans="1:20" x14ac:dyDescent="0.3">
      <c r="A1238" t="s">
        <v>2495</v>
      </c>
      <c r="B1238" s="171" t="s">
        <v>2496</v>
      </c>
      <c r="C1238" s="171" t="s">
        <v>73</v>
      </c>
      <c r="D1238" s="171" t="s">
        <v>4</v>
      </c>
      <c r="E1238" s="11">
        <v>41365</v>
      </c>
    </row>
    <row r="1239" spans="1:20" x14ac:dyDescent="0.3">
      <c r="A1239" t="s">
        <v>2497</v>
      </c>
      <c r="B1239" s="171" t="s">
        <v>2498</v>
      </c>
      <c r="C1239" s="171" t="s">
        <v>76</v>
      </c>
      <c r="D1239" s="171" t="s">
        <v>4</v>
      </c>
      <c r="E1239" s="11">
        <v>41365</v>
      </c>
      <c r="T1239">
        <v>0.91919191919191912</v>
      </c>
    </row>
    <row r="1240" spans="1:20" x14ac:dyDescent="0.3">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x14ac:dyDescent="0.3">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x14ac:dyDescent="0.3">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2513</v>
      </c>
      <c r="B1247" s="171" t="s">
        <v>2514</v>
      </c>
      <c r="C1247" s="171" t="s">
        <v>101</v>
      </c>
      <c r="D1247" s="171" t="s">
        <v>80</v>
      </c>
      <c r="E1247" s="11">
        <v>41365</v>
      </c>
      <c r="F1247">
        <v>0</v>
      </c>
      <c r="G1247">
        <v>0</v>
      </c>
      <c r="I1247">
        <v>0</v>
      </c>
      <c r="J1247">
        <v>0</v>
      </c>
      <c r="L1247">
        <v>0</v>
      </c>
      <c r="P1247">
        <v>0</v>
      </c>
      <c r="Q1247">
        <v>0</v>
      </c>
      <c r="R1247" t="e">
        <v>#DIV/0!</v>
      </c>
    </row>
    <row r="1248" spans="1:20" x14ac:dyDescent="0.3">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x14ac:dyDescent="0.3">
      <c r="A1252" t="s">
        <v>2523</v>
      </c>
      <c r="B1252" s="171" t="s">
        <v>2524</v>
      </c>
      <c r="C1252" s="171" t="s">
        <v>116</v>
      </c>
      <c r="D1252" s="171" t="s">
        <v>80</v>
      </c>
      <c r="E1252" s="11">
        <v>41365</v>
      </c>
      <c r="H1252" t="e">
        <v>#DIV/0!</v>
      </c>
      <c r="K1252" t="e">
        <v>#DIV/0!</v>
      </c>
      <c r="M1252" t="e">
        <v>#DIV/0!</v>
      </c>
      <c r="R1252" t="e">
        <v>#DIV/0!</v>
      </c>
    </row>
    <row r="1253" spans="1:20" x14ac:dyDescent="0.3">
      <c r="A1253" t="s">
        <v>2525</v>
      </c>
      <c r="B1253" s="171" t="s">
        <v>2526</v>
      </c>
      <c r="C1253" s="171" t="s">
        <v>119</v>
      </c>
      <c r="D1253" s="171" t="s">
        <v>80</v>
      </c>
      <c r="E1253" s="11">
        <v>41365</v>
      </c>
    </row>
    <row r="1254" spans="1:20" x14ac:dyDescent="0.3">
      <c r="A1254" t="s">
        <v>2527</v>
      </c>
      <c r="B1254" s="171" t="s">
        <v>2528</v>
      </c>
      <c r="C1254" s="171" t="s">
        <v>122</v>
      </c>
      <c r="D1254" s="171" t="s">
        <v>4</v>
      </c>
      <c r="E1254" s="11">
        <v>41365</v>
      </c>
    </row>
    <row r="1255" spans="1:20" x14ac:dyDescent="0.3">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x14ac:dyDescent="0.3">
      <c r="A1258" t="s">
        <v>2535</v>
      </c>
      <c r="B1258" s="171" t="s">
        <v>2536</v>
      </c>
      <c r="C1258" s="171" t="s">
        <v>134</v>
      </c>
      <c r="D1258" s="171" t="s">
        <v>80</v>
      </c>
      <c r="E1258" s="11">
        <v>41365</v>
      </c>
      <c r="H1258" t="e">
        <v>#DIV/0!</v>
      </c>
      <c r="K1258" t="e">
        <v>#DIV/0!</v>
      </c>
      <c r="M1258" t="e">
        <v>#DIV/0!</v>
      </c>
      <c r="R1258" t="e">
        <v>#DIV/0!</v>
      </c>
    </row>
    <row r="1259" spans="1:20" x14ac:dyDescent="0.3">
      <c r="A1259" t="s">
        <v>2537</v>
      </c>
      <c r="B1259" s="171" t="s">
        <v>2538</v>
      </c>
      <c r="C1259" s="171" t="s">
        <v>137</v>
      </c>
      <c r="D1259" s="171" t="s">
        <v>4</v>
      </c>
      <c r="E1259" s="11">
        <v>41365</v>
      </c>
      <c r="R1259" t="e">
        <v>#DIV/0!</v>
      </c>
      <c r="T1259">
        <v>0.4</v>
      </c>
    </row>
    <row r="1260" spans="1:20" x14ac:dyDescent="0.3">
      <c r="A1260" t="s">
        <v>2539</v>
      </c>
      <c r="B1260" s="171" t="s">
        <v>2540</v>
      </c>
      <c r="C1260" s="171" t="s">
        <v>140</v>
      </c>
      <c r="D1260" s="171" t="s">
        <v>80</v>
      </c>
      <c r="E1260" s="11">
        <v>41365</v>
      </c>
      <c r="R1260" t="e">
        <v>#DIV/0!</v>
      </c>
      <c r="T1260">
        <v>0.4</v>
      </c>
    </row>
    <row r="1261" spans="1:20" x14ac:dyDescent="0.3">
      <c r="A1261" t="s">
        <v>2541</v>
      </c>
      <c r="B1261" s="171" t="s">
        <v>2542</v>
      </c>
      <c r="C1261" s="171" t="s">
        <v>143</v>
      </c>
      <c r="D1261" s="171" t="s">
        <v>80</v>
      </c>
      <c r="E1261" s="11">
        <v>41365</v>
      </c>
      <c r="H1261" t="e">
        <v>#DIV/0!</v>
      </c>
      <c r="K1261" t="e">
        <v>#DIV/0!</v>
      </c>
      <c r="M1261" t="e">
        <v>#DIV/0!</v>
      </c>
      <c r="N1261">
        <v>0</v>
      </c>
      <c r="R1261" t="e">
        <v>#DIV/0!</v>
      </c>
      <c r="T1261">
        <v>1.2333333333333334</v>
      </c>
    </row>
    <row r="1262" spans="1:20" x14ac:dyDescent="0.3">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2545</v>
      </c>
      <c r="B1263" s="171" t="s">
        <v>2546</v>
      </c>
      <c r="C1263" s="171" t="s">
        <v>149</v>
      </c>
      <c r="D1263" s="171" t="s">
        <v>80</v>
      </c>
      <c r="E1263" s="11">
        <v>41365</v>
      </c>
    </row>
    <row r="1264" spans="1:20" x14ac:dyDescent="0.3">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x14ac:dyDescent="0.3">
      <c r="A1266" t="s">
        <v>2551</v>
      </c>
      <c r="B1266" s="171" t="s">
        <v>2552</v>
      </c>
      <c r="C1266" s="171" t="s">
        <v>158</v>
      </c>
      <c r="D1266" s="171" t="s">
        <v>80</v>
      </c>
      <c r="E1266" s="11">
        <v>41365</v>
      </c>
    </row>
    <row r="1267" spans="1:20" x14ac:dyDescent="0.3">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2555</v>
      </c>
      <c r="B1268" s="171" t="s">
        <v>2556</v>
      </c>
      <c r="C1268" s="171" t="s">
        <v>164</v>
      </c>
      <c r="D1268" s="171" t="s">
        <v>80</v>
      </c>
      <c r="E1268" s="11">
        <v>41365</v>
      </c>
    </row>
    <row r="1269" spans="1:20" x14ac:dyDescent="0.3">
      <c r="A1269" t="s">
        <v>2557</v>
      </c>
      <c r="B1269" s="171" t="s">
        <v>2558</v>
      </c>
      <c r="C1269" s="171" t="s">
        <v>167</v>
      </c>
      <c r="D1269" s="171" t="s">
        <v>4</v>
      </c>
      <c r="E1269" s="11">
        <v>41365</v>
      </c>
      <c r="R1269" t="e">
        <v>#DIV/0!</v>
      </c>
    </row>
    <row r="1270" spans="1:20" x14ac:dyDescent="0.3">
      <c r="A1270" t="s">
        <v>2559</v>
      </c>
      <c r="B1270" s="171" t="s">
        <v>2560</v>
      </c>
      <c r="C1270" s="171" t="s">
        <v>170</v>
      </c>
      <c r="D1270" s="171" t="s">
        <v>80</v>
      </c>
      <c r="E1270" s="11">
        <v>41365</v>
      </c>
      <c r="R1270" t="e">
        <v>#DIV/0!</v>
      </c>
    </row>
    <row r="1271" spans="1:20" x14ac:dyDescent="0.3">
      <c r="A1271" t="s">
        <v>2561</v>
      </c>
      <c r="B1271" s="171" t="s">
        <v>2562</v>
      </c>
      <c r="C1271" s="171" t="s">
        <v>173</v>
      </c>
      <c r="D1271" s="171" t="s">
        <v>80</v>
      </c>
      <c r="E1271" s="11">
        <v>41365</v>
      </c>
      <c r="I1271">
        <v>6</v>
      </c>
      <c r="N1271">
        <v>6</v>
      </c>
      <c r="P1271">
        <v>1</v>
      </c>
      <c r="Q1271">
        <v>3</v>
      </c>
      <c r="R1271">
        <v>0.33333333333333331</v>
      </c>
      <c r="S1271">
        <v>0</v>
      </c>
      <c r="T1271">
        <v>0</v>
      </c>
    </row>
    <row r="1272" spans="1:20" x14ac:dyDescent="0.3">
      <c r="A1272" t="s">
        <v>2563</v>
      </c>
      <c r="B1272" s="171" t="s">
        <v>2564</v>
      </c>
      <c r="C1272" s="171" t="s">
        <v>176</v>
      </c>
      <c r="D1272" s="171" t="s">
        <v>80</v>
      </c>
      <c r="E1272" s="11">
        <v>41365</v>
      </c>
      <c r="I1272">
        <v>6</v>
      </c>
      <c r="N1272">
        <v>6</v>
      </c>
      <c r="P1272">
        <v>1</v>
      </c>
      <c r="Q1272">
        <v>3</v>
      </c>
      <c r="R1272">
        <v>0.33333333333333331</v>
      </c>
      <c r="S1272">
        <v>0</v>
      </c>
    </row>
    <row r="1273" spans="1:20" x14ac:dyDescent="0.3">
      <c r="A1273" t="s">
        <v>2565</v>
      </c>
      <c r="B1273" s="171" t="s">
        <v>2566</v>
      </c>
      <c r="C1273" s="171" t="s">
        <v>179</v>
      </c>
      <c r="D1273" s="171" t="s">
        <v>4</v>
      </c>
      <c r="E1273" s="11">
        <v>41365</v>
      </c>
      <c r="R1273" t="e">
        <v>#DIV/0!</v>
      </c>
    </row>
    <row r="1274" spans="1:20" x14ac:dyDescent="0.3">
      <c r="A1274" t="s">
        <v>2567</v>
      </c>
      <c r="B1274" s="171" t="s">
        <v>2568</v>
      </c>
      <c r="C1274" s="171" t="s">
        <v>182</v>
      </c>
      <c r="D1274" s="171" t="s">
        <v>80</v>
      </c>
      <c r="E1274" s="11">
        <v>41365</v>
      </c>
      <c r="R1274" t="e">
        <v>#DIV/0!</v>
      </c>
    </row>
    <row r="1275" spans="1:20" x14ac:dyDescent="0.3">
      <c r="A1275" t="s">
        <v>2569</v>
      </c>
      <c r="B1275" s="171" t="s">
        <v>2570</v>
      </c>
      <c r="C1275" s="171" t="s">
        <v>185</v>
      </c>
      <c r="D1275" s="171" t="s">
        <v>4</v>
      </c>
      <c r="E1275" s="11">
        <v>41365</v>
      </c>
      <c r="T1275">
        <v>0.85575714285714277</v>
      </c>
    </row>
    <row r="1276" spans="1:20" x14ac:dyDescent="0.3">
      <c r="A1276" t="s">
        <v>2571</v>
      </c>
      <c r="B1276" s="171" t="s">
        <v>2572</v>
      </c>
      <c r="C1276" s="171" t="s">
        <v>188</v>
      </c>
      <c r="D1276" s="171" t="s">
        <v>80</v>
      </c>
      <c r="E1276" s="11">
        <v>41365</v>
      </c>
      <c r="T1276">
        <v>0.82040000000000002</v>
      </c>
    </row>
    <row r="1277" spans="1:20" x14ac:dyDescent="0.3">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2577</v>
      </c>
      <c r="B1279" s="171" t="s">
        <v>2578</v>
      </c>
      <c r="C1279" s="171" t="s">
        <v>197</v>
      </c>
      <c r="D1279" s="171" t="s">
        <v>80</v>
      </c>
      <c r="E1279" s="11">
        <v>41365</v>
      </c>
      <c r="H1279" t="e">
        <v>#DIV/0!</v>
      </c>
      <c r="K1279" t="e">
        <v>#DIV/0!</v>
      </c>
      <c r="M1279" t="e">
        <v>#DIV/0!</v>
      </c>
      <c r="R1279" t="e">
        <v>#DIV/0!</v>
      </c>
    </row>
    <row r="1280" spans="1:20" x14ac:dyDescent="0.3">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x14ac:dyDescent="0.3">
      <c r="A1281" t="s">
        <v>2581</v>
      </c>
      <c r="B1281" s="171" t="s">
        <v>2582</v>
      </c>
      <c r="C1281" s="171" t="s">
        <v>203</v>
      </c>
      <c r="D1281" s="171" t="s">
        <v>80</v>
      </c>
      <c r="E1281" s="11">
        <v>41365</v>
      </c>
      <c r="T1281">
        <v>0</v>
      </c>
    </row>
    <row r="1282" spans="1:20" x14ac:dyDescent="0.3">
      <c r="A1282" t="s">
        <v>2583</v>
      </c>
      <c r="B1282" s="171" t="s">
        <v>2584</v>
      </c>
      <c r="C1282" s="171" t="s">
        <v>206</v>
      </c>
      <c r="D1282" s="171" t="s">
        <v>80</v>
      </c>
      <c r="E1282" s="11">
        <v>41365</v>
      </c>
      <c r="I1282">
        <v>8</v>
      </c>
      <c r="P1282">
        <v>3</v>
      </c>
      <c r="Q1282">
        <v>4</v>
      </c>
      <c r="R1282">
        <v>0.75</v>
      </c>
      <c r="T1282">
        <v>1.01875</v>
      </c>
    </row>
    <row r="1283" spans="1:20" x14ac:dyDescent="0.3">
      <c r="A1283" t="s">
        <v>2585</v>
      </c>
      <c r="B1283" s="171" t="s">
        <v>2586</v>
      </c>
      <c r="C1283" s="171" t="s">
        <v>209</v>
      </c>
      <c r="D1283" s="171" t="s">
        <v>80</v>
      </c>
      <c r="E1283" s="11">
        <v>41365</v>
      </c>
      <c r="T1283">
        <v>0.84099999999999997</v>
      </c>
    </row>
    <row r="1284" spans="1:20" x14ac:dyDescent="0.3">
      <c r="A1284" t="s">
        <v>2587</v>
      </c>
      <c r="B1284" s="171" t="s">
        <v>2588</v>
      </c>
      <c r="C1284" s="171" t="s">
        <v>212</v>
      </c>
      <c r="D1284" s="171" t="s">
        <v>4</v>
      </c>
      <c r="E1284" s="11">
        <v>41365</v>
      </c>
      <c r="T1284">
        <v>0.96599999999999997</v>
      </c>
    </row>
    <row r="1285" spans="1:20" x14ac:dyDescent="0.3">
      <c r="A1285" t="s">
        <v>2589</v>
      </c>
      <c r="B1285" s="171" t="s">
        <v>2590</v>
      </c>
      <c r="C1285" s="171" t="s">
        <v>215</v>
      </c>
      <c r="D1285" s="171" t="s">
        <v>4</v>
      </c>
      <c r="E1285" s="11">
        <v>41365</v>
      </c>
      <c r="R1285" t="e">
        <v>#DIV/0!</v>
      </c>
      <c r="T1285">
        <v>0</v>
      </c>
    </row>
    <row r="1286" spans="1:20" x14ac:dyDescent="0.3">
      <c r="A1286" t="s">
        <v>2591</v>
      </c>
      <c r="B1286" s="171" t="s">
        <v>2592</v>
      </c>
      <c r="C1286" s="171" t="s">
        <v>218</v>
      </c>
      <c r="D1286" s="171" t="s">
        <v>80</v>
      </c>
      <c r="E1286" s="11">
        <v>41365</v>
      </c>
      <c r="R1286" t="e">
        <v>#DIV/0!</v>
      </c>
      <c r="T1286">
        <v>0.54468390804597699</v>
      </c>
    </row>
    <row r="1287" spans="1:20" x14ac:dyDescent="0.3">
      <c r="A1287" t="s">
        <v>2593</v>
      </c>
      <c r="B1287" s="171" t="s">
        <v>2594</v>
      </c>
      <c r="C1287" s="171" t="s">
        <v>221</v>
      </c>
      <c r="D1287" s="171" t="s">
        <v>4</v>
      </c>
      <c r="E1287" s="11">
        <v>41365</v>
      </c>
      <c r="F1287">
        <v>0</v>
      </c>
      <c r="G1287">
        <v>0</v>
      </c>
      <c r="I1287">
        <v>0</v>
      </c>
      <c r="L1287">
        <v>0</v>
      </c>
      <c r="N1287">
        <v>5</v>
      </c>
      <c r="S1287">
        <v>0</v>
      </c>
      <c r="T1287">
        <v>0</v>
      </c>
    </row>
    <row r="1288" spans="1:20" x14ac:dyDescent="0.3">
      <c r="A1288" t="s">
        <v>2595</v>
      </c>
      <c r="B1288" s="171" t="s">
        <v>2596</v>
      </c>
      <c r="C1288" s="171" t="s">
        <v>224</v>
      </c>
      <c r="D1288" s="171" t="s">
        <v>80</v>
      </c>
      <c r="E1288" s="11">
        <v>41365</v>
      </c>
      <c r="T1288">
        <v>0.92750431034482761</v>
      </c>
    </row>
    <row r="1289" spans="1:20" x14ac:dyDescent="0.3">
      <c r="A1289" t="s">
        <v>2597</v>
      </c>
      <c r="B1289" s="171" t="s">
        <v>2598</v>
      </c>
      <c r="C1289" s="171" t="s">
        <v>227</v>
      </c>
      <c r="D1289" s="171" t="s">
        <v>80</v>
      </c>
      <c r="E1289" s="11">
        <v>41365</v>
      </c>
      <c r="N1289">
        <v>5</v>
      </c>
      <c r="P1289">
        <v>0</v>
      </c>
      <c r="Q1289">
        <v>0</v>
      </c>
      <c r="S1289">
        <v>0</v>
      </c>
      <c r="T1289">
        <v>0.80740740740740746</v>
      </c>
    </row>
    <row r="1290" spans="1:20" x14ac:dyDescent="0.3">
      <c r="A1290" t="s">
        <v>2599</v>
      </c>
      <c r="B1290" s="171" t="s">
        <v>2600</v>
      </c>
      <c r="C1290" s="171" t="s">
        <v>230</v>
      </c>
      <c r="D1290" s="171" t="s">
        <v>80</v>
      </c>
      <c r="E1290" s="11">
        <v>41365</v>
      </c>
      <c r="T1290">
        <v>1.05</v>
      </c>
    </row>
    <row r="1291" spans="1:20" x14ac:dyDescent="0.3">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2607</v>
      </c>
      <c r="B1294" s="171" t="s">
        <v>2608</v>
      </c>
      <c r="C1294" s="171" t="s">
        <v>76</v>
      </c>
      <c r="D1294" s="171" t="s">
        <v>80</v>
      </c>
      <c r="E1294" s="11">
        <v>41365</v>
      </c>
    </row>
    <row r="1295" spans="1:20" x14ac:dyDescent="0.3">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2619</v>
      </c>
      <c r="B1300" s="171" t="s">
        <v>2620</v>
      </c>
      <c r="C1300" s="171" t="s">
        <v>101</v>
      </c>
      <c r="D1300" s="171" t="s">
        <v>4</v>
      </c>
      <c r="E1300" s="11">
        <v>41365</v>
      </c>
      <c r="F1300">
        <v>0</v>
      </c>
      <c r="G1300">
        <v>0</v>
      </c>
      <c r="I1300">
        <v>0</v>
      </c>
      <c r="J1300">
        <v>0</v>
      </c>
      <c r="L1300">
        <v>0</v>
      </c>
      <c r="P1300">
        <v>0</v>
      </c>
      <c r="Q1300">
        <v>0</v>
      </c>
      <c r="R1300" t="e">
        <v>#DIV/0!</v>
      </c>
    </row>
    <row r="1301" spans="1:20" x14ac:dyDescent="0.3">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x14ac:dyDescent="0.3">
      <c r="A1304" t="s">
        <v>2627</v>
      </c>
      <c r="B1304" s="171" t="s">
        <v>2628</v>
      </c>
      <c r="C1304" s="171" t="s">
        <v>116</v>
      </c>
      <c r="D1304" s="171" t="s">
        <v>4</v>
      </c>
      <c r="E1304" s="11">
        <v>41365</v>
      </c>
      <c r="H1304" t="e">
        <v>#DIV/0!</v>
      </c>
      <c r="K1304" t="e">
        <v>#DIV/0!</v>
      </c>
      <c r="M1304" t="e">
        <v>#DIV/0!</v>
      </c>
      <c r="R1304" t="e">
        <v>#DIV/0!</v>
      </c>
      <c r="T1304">
        <v>1.175</v>
      </c>
    </row>
    <row r="1305" spans="1:20" x14ac:dyDescent="0.3">
      <c r="A1305" t="s">
        <v>2629</v>
      </c>
      <c r="B1305" s="171" t="s">
        <v>2630</v>
      </c>
      <c r="C1305" s="171" t="s">
        <v>119</v>
      </c>
      <c r="D1305" s="171" t="s">
        <v>4</v>
      </c>
      <c r="E1305" s="11">
        <v>41365</v>
      </c>
      <c r="T1305">
        <v>0.5</v>
      </c>
    </row>
    <row r="1306" spans="1:20" x14ac:dyDescent="0.3">
      <c r="A1306" t="s">
        <v>2631</v>
      </c>
      <c r="B1306" s="171" t="s">
        <v>2632</v>
      </c>
      <c r="C1306" s="171" t="s">
        <v>122</v>
      </c>
      <c r="D1306" s="171" t="s">
        <v>80</v>
      </c>
      <c r="E1306" s="11">
        <v>41365</v>
      </c>
    </row>
    <row r="1307" spans="1:20" x14ac:dyDescent="0.3">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x14ac:dyDescent="0.3">
      <c r="A1310" t="s">
        <v>2639</v>
      </c>
      <c r="B1310" s="171" t="s">
        <v>2640</v>
      </c>
      <c r="C1310" s="171" t="s">
        <v>134</v>
      </c>
      <c r="D1310" s="171" t="s">
        <v>4</v>
      </c>
      <c r="E1310" s="11">
        <v>41365</v>
      </c>
      <c r="H1310" t="e">
        <v>#DIV/0!</v>
      </c>
      <c r="K1310" t="e">
        <v>#DIV/0!</v>
      </c>
      <c r="M1310" t="e">
        <v>#DIV/0!</v>
      </c>
      <c r="R1310" t="e">
        <v>#DIV/0!</v>
      </c>
    </row>
    <row r="1311" spans="1:20" x14ac:dyDescent="0.3">
      <c r="A1311" t="s">
        <v>2641</v>
      </c>
      <c r="B1311" s="171" t="s">
        <v>2642</v>
      </c>
      <c r="C1311" s="171" t="s">
        <v>137</v>
      </c>
      <c r="D1311" s="171" t="s">
        <v>80</v>
      </c>
      <c r="E1311" s="11">
        <v>41365</v>
      </c>
      <c r="R1311" t="e">
        <v>#DIV/0!</v>
      </c>
    </row>
    <row r="1312" spans="1:20" x14ac:dyDescent="0.3">
      <c r="A1312" t="s">
        <v>2643</v>
      </c>
      <c r="B1312" s="171" t="s">
        <v>2644</v>
      </c>
      <c r="C1312" s="171" t="s">
        <v>140</v>
      </c>
      <c r="D1312" s="171" t="s">
        <v>4</v>
      </c>
      <c r="E1312" s="11">
        <v>41365</v>
      </c>
      <c r="R1312" t="e">
        <v>#DIV/0!</v>
      </c>
    </row>
    <row r="1313" spans="1:20" x14ac:dyDescent="0.3">
      <c r="A1313" t="s">
        <v>2645</v>
      </c>
      <c r="B1313" s="171" t="s">
        <v>2646</v>
      </c>
      <c r="C1313" s="171" t="s">
        <v>167</v>
      </c>
      <c r="D1313" s="171" t="s">
        <v>80</v>
      </c>
      <c r="E1313" s="11">
        <v>41365</v>
      </c>
      <c r="R1313" t="e">
        <v>#DIV/0!</v>
      </c>
    </row>
    <row r="1314" spans="1:20" x14ac:dyDescent="0.3">
      <c r="A1314" t="s">
        <v>2647</v>
      </c>
      <c r="B1314" s="171" t="s">
        <v>2648</v>
      </c>
      <c r="C1314" s="171" t="s">
        <v>170</v>
      </c>
      <c r="D1314" s="171" t="s">
        <v>4</v>
      </c>
      <c r="E1314" s="11">
        <v>41365</v>
      </c>
      <c r="R1314" t="e">
        <v>#DIV/0!</v>
      </c>
    </row>
    <row r="1315" spans="1:20" x14ac:dyDescent="0.3">
      <c r="A1315" t="s">
        <v>2649</v>
      </c>
      <c r="B1315" s="171" t="s">
        <v>2650</v>
      </c>
      <c r="C1315" s="171" t="s">
        <v>179</v>
      </c>
      <c r="D1315" s="171" t="s">
        <v>80</v>
      </c>
      <c r="E1315" s="11">
        <v>41365</v>
      </c>
      <c r="R1315" t="e">
        <v>#DIV/0!</v>
      </c>
      <c r="T1315">
        <v>0.25</v>
      </c>
    </row>
    <row r="1316" spans="1:20" x14ac:dyDescent="0.3">
      <c r="A1316" t="s">
        <v>2651</v>
      </c>
      <c r="B1316" s="171" t="s">
        <v>2652</v>
      </c>
      <c r="C1316" s="171" t="s">
        <v>182</v>
      </c>
      <c r="D1316" s="171" t="s">
        <v>4</v>
      </c>
      <c r="E1316" s="11">
        <v>41365</v>
      </c>
      <c r="R1316" t="e">
        <v>#DIV/0!</v>
      </c>
      <c r="T1316">
        <v>0.25</v>
      </c>
    </row>
    <row r="1317" spans="1:20" x14ac:dyDescent="0.3">
      <c r="A1317" t="s">
        <v>2653</v>
      </c>
      <c r="B1317" s="171" t="s">
        <v>2654</v>
      </c>
      <c r="C1317" s="171" t="s">
        <v>185</v>
      </c>
      <c r="D1317" s="171" t="s">
        <v>80</v>
      </c>
      <c r="E1317" s="11">
        <v>41365</v>
      </c>
      <c r="T1317">
        <v>1.1666666666666667</v>
      </c>
    </row>
    <row r="1318" spans="1:20" x14ac:dyDescent="0.3">
      <c r="A1318" t="s">
        <v>2655</v>
      </c>
      <c r="B1318" s="171" t="s">
        <v>2656</v>
      </c>
      <c r="C1318" s="171" t="s">
        <v>188</v>
      </c>
      <c r="D1318" s="171" t="s">
        <v>4</v>
      </c>
      <c r="E1318" s="11">
        <v>41365</v>
      </c>
      <c r="T1318">
        <v>0.875</v>
      </c>
    </row>
    <row r="1319" spans="1:20" x14ac:dyDescent="0.3">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2661</v>
      </c>
      <c r="B1321" s="171" t="s">
        <v>2662</v>
      </c>
      <c r="C1321" s="171" t="s">
        <v>197</v>
      </c>
      <c r="D1321" s="171" t="s">
        <v>4</v>
      </c>
      <c r="E1321" s="11">
        <v>41365</v>
      </c>
      <c r="H1321" t="e">
        <v>#DIV/0!</v>
      </c>
      <c r="K1321" t="e">
        <v>#DIV/0!</v>
      </c>
      <c r="M1321" t="e">
        <v>#DIV/0!</v>
      </c>
      <c r="R1321" t="e">
        <v>#DIV/0!</v>
      </c>
    </row>
    <row r="1322" spans="1:20" x14ac:dyDescent="0.3">
      <c r="A1322" t="s">
        <v>2663</v>
      </c>
      <c r="B1322" s="171" t="s">
        <v>2664</v>
      </c>
      <c r="C1322" s="171" t="s">
        <v>209</v>
      </c>
      <c r="D1322" s="171" t="s">
        <v>4</v>
      </c>
      <c r="E1322" s="11">
        <v>41365</v>
      </c>
    </row>
    <row r="1323" spans="1:20" x14ac:dyDescent="0.3">
      <c r="A1323" t="s">
        <v>2665</v>
      </c>
      <c r="B1323" s="171" t="s">
        <v>2666</v>
      </c>
      <c r="C1323" s="171" t="s">
        <v>212</v>
      </c>
      <c r="D1323" s="171" t="s">
        <v>80</v>
      </c>
      <c r="E1323" s="11">
        <v>41365</v>
      </c>
    </row>
    <row r="1324" spans="1:20" x14ac:dyDescent="0.3">
      <c r="A1324" t="s">
        <v>2667</v>
      </c>
      <c r="B1324" s="171" t="s">
        <v>2668</v>
      </c>
      <c r="C1324" s="171" t="s">
        <v>215</v>
      </c>
      <c r="D1324" s="171" t="s">
        <v>80</v>
      </c>
      <c r="E1324" s="11">
        <v>41365</v>
      </c>
      <c r="R1324" t="e">
        <v>#DIV/0!</v>
      </c>
    </row>
    <row r="1325" spans="1:20" x14ac:dyDescent="0.3">
      <c r="A1325" t="s">
        <v>2669</v>
      </c>
      <c r="B1325" s="171" t="s">
        <v>2670</v>
      </c>
      <c r="C1325" s="171" t="s">
        <v>218</v>
      </c>
      <c r="D1325" s="171" t="s">
        <v>4</v>
      </c>
      <c r="E1325" s="11">
        <v>41365</v>
      </c>
      <c r="R1325" t="e">
        <v>#DIV/0!</v>
      </c>
    </row>
    <row r="1326" spans="1:20" x14ac:dyDescent="0.3">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x14ac:dyDescent="0.3">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2677</v>
      </c>
      <c r="B1329" s="171" t="s">
        <v>2678</v>
      </c>
      <c r="C1329" s="171" t="s">
        <v>143</v>
      </c>
      <c r="D1329" s="171" t="s">
        <v>4</v>
      </c>
      <c r="E1329" s="11">
        <v>41365</v>
      </c>
      <c r="H1329" t="e">
        <v>#DIV/0!</v>
      </c>
      <c r="K1329" t="e">
        <v>#DIV/0!</v>
      </c>
      <c r="M1329" t="e">
        <v>#DIV/0!</v>
      </c>
      <c r="N1329">
        <v>0</v>
      </c>
      <c r="R1329" t="e">
        <v>#DIV/0!</v>
      </c>
      <c r="T1329">
        <v>0.8125</v>
      </c>
    </row>
    <row r="1330" spans="1:20" x14ac:dyDescent="0.3">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2681</v>
      </c>
      <c r="B1331" s="171" t="s">
        <v>2682</v>
      </c>
      <c r="C1331" s="171" t="s">
        <v>149</v>
      </c>
      <c r="D1331" s="171" t="s">
        <v>4</v>
      </c>
      <c r="E1331" s="11">
        <v>41365</v>
      </c>
      <c r="T1331">
        <v>0.86599999999999999</v>
      </c>
    </row>
    <row r="1332" spans="1:20" x14ac:dyDescent="0.3">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x14ac:dyDescent="0.3">
      <c r="A1334" t="s">
        <v>2687</v>
      </c>
      <c r="B1334" s="171" t="s">
        <v>2688</v>
      </c>
      <c r="C1334" s="171" t="s">
        <v>158</v>
      </c>
      <c r="D1334" s="171" t="s">
        <v>4</v>
      </c>
      <c r="E1334" s="11">
        <v>41365</v>
      </c>
    </row>
    <row r="1335" spans="1:20" x14ac:dyDescent="0.3">
      <c r="A1335" t="s">
        <v>2689</v>
      </c>
      <c r="B1335" s="171" t="s">
        <v>2690</v>
      </c>
      <c r="C1335" s="171" t="s">
        <v>164</v>
      </c>
      <c r="D1335" s="171" t="s">
        <v>4</v>
      </c>
      <c r="E1335" s="11">
        <v>41365</v>
      </c>
    </row>
    <row r="1336" spans="1:20" x14ac:dyDescent="0.3">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2693</v>
      </c>
      <c r="B1337" s="171" t="s">
        <v>2694</v>
      </c>
      <c r="C1337" s="171" t="s">
        <v>221</v>
      </c>
      <c r="D1337" s="171" t="s">
        <v>80</v>
      </c>
      <c r="E1337" s="11">
        <v>41365</v>
      </c>
      <c r="F1337">
        <v>0</v>
      </c>
      <c r="G1337">
        <v>0</v>
      </c>
      <c r="I1337">
        <v>0</v>
      </c>
      <c r="L1337">
        <v>0</v>
      </c>
      <c r="N1337">
        <v>5</v>
      </c>
      <c r="S1337">
        <v>0</v>
      </c>
      <c r="T1337">
        <v>0</v>
      </c>
    </row>
    <row r="1338" spans="1:20" x14ac:dyDescent="0.3">
      <c r="A1338" t="s">
        <v>2695</v>
      </c>
      <c r="B1338" s="171" t="s">
        <v>2696</v>
      </c>
      <c r="C1338" s="171" t="s">
        <v>224</v>
      </c>
      <c r="D1338" s="171" t="s">
        <v>4</v>
      </c>
      <c r="E1338" s="11">
        <v>41365</v>
      </c>
      <c r="T1338">
        <v>0.96250000000000013</v>
      </c>
    </row>
    <row r="1339" spans="1:20" x14ac:dyDescent="0.3">
      <c r="A1339" t="s">
        <v>2697</v>
      </c>
      <c r="B1339" s="171" t="s">
        <v>2698</v>
      </c>
      <c r="C1339" s="171" t="s">
        <v>227</v>
      </c>
      <c r="D1339" s="171" t="s">
        <v>4</v>
      </c>
      <c r="E1339" s="11">
        <v>41365</v>
      </c>
      <c r="N1339">
        <v>5</v>
      </c>
      <c r="P1339">
        <v>0</v>
      </c>
      <c r="Q1339">
        <v>0</v>
      </c>
      <c r="S1339">
        <v>0</v>
      </c>
      <c r="T1339">
        <v>0.83425000000000005</v>
      </c>
    </row>
    <row r="1340" spans="1:20" x14ac:dyDescent="0.3">
      <c r="A1340" t="s">
        <v>2699</v>
      </c>
      <c r="B1340" s="171" t="s">
        <v>2700</v>
      </c>
      <c r="C1340" s="171" t="s">
        <v>230</v>
      </c>
      <c r="D1340" s="171" t="s">
        <v>4</v>
      </c>
      <c r="E1340" s="11">
        <v>41365</v>
      </c>
      <c r="T1340">
        <v>0.91700000000000004</v>
      </c>
    </row>
    <row r="1341" spans="1:20" x14ac:dyDescent="0.3">
      <c r="A1341" t="s">
        <v>2701</v>
      </c>
      <c r="B1341" s="171" t="s">
        <v>2702</v>
      </c>
      <c r="C1341" s="171" t="s">
        <v>73</v>
      </c>
      <c r="D1341" s="171" t="s">
        <v>4</v>
      </c>
      <c r="E1341" s="11">
        <v>41395</v>
      </c>
      <c r="T1341">
        <v>0</v>
      </c>
    </row>
    <row r="1342" spans="1:20" x14ac:dyDescent="0.3">
      <c r="A1342" t="s">
        <v>2703</v>
      </c>
      <c r="B1342" s="171" t="s">
        <v>2704</v>
      </c>
      <c r="C1342" s="171" t="s">
        <v>76</v>
      </c>
      <c r="D1342" s="171" t="s">
        <v>4</v>
      </c>
      <c r="E1342" s="11">
        <v>41395</v>
      </c>
      <c r="T1342">
        <v>0.52335164835164838</v>
      </c>
    </row>
    <row r="1343" spans="1:20" x14ac:dyDescent="0.3">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x14ac:dyDescent="0.3">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x14ac:dyDescent="0.3">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2719</v>
      </c>
      <c r="B1350" s="171" t="s">
        <v>2720</v>
      </c>
      <c r="C1350" s="171" t="s">
        <v>101</v>
      </c>
      <c r="D1350" s="171" t="s">
        <v>80</v>
      </c>
      <c r="E1350" s="11">
        <v>41395</v>
      </c>
      <c r="F1350">
        <v>0</v>
      </c>
      <c r="G1350">
        <v>0</v>
      </c>
      <c r="I1350">
        <v>0</v>
      </c>
      <c r="J1350">
        <v>0</v>
      </c>
      <c r="L1350">
        <v>0</v>
      </c>
      <c r="P1350">
        <v>0</v>
      </c>
      <c r="Q1350">
        <v>0</v>
      </c>
      <c r="R1350" t="e">
        <v>#DIV/0!</v>
      </c>
    </row>
    <row r="1351" spans="1:20" x14ac:dyDescent="0.3">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x14ac:dyDescent="0.3">
      <c r="A1355" t="s">
        <v>2729</v>
      </c>
      <c r="B1355" s="171" t="s">
        <v>2730</v>
      </c>
      <c r="C1355" s="171" t="s">
        <v>116</v>
      </c>
      <c r="D1355" s="171" t="s">
        <v>80</v>
      </c>
      <c r="E1355" s="11">
        <v>41395</v>
      </c>
      <c r="H1355" t="e">
        <v>#DIV/0!</v>
      </c>
      <c r="K1355" t="e">
        <v>#DIV/0!</v>
      </c>
      <c r="M1355" t="e">
        <v>#DIV/0!</v>
      </c>
      <c r="R1355" t="e">
        <v>#DIV/0!</v>
      </c>
    </row>
    <row r="1356" spans="1:20" x14ac:dyDescent="0.3">
      <c r="A1356" t="s">
        <v>2731</v>
      </c>
      <c r="B1356" s="171" t="s">
        <v>2732</v>
      </c>
      <c r="C1356" s="171" t="s">
        <v>119</v>
      </c>
      <c r="D1356" s="171" t="s">
        <v>80</v>
      </c>
      <c r="E1356" s="11">
        <v>41395</v>
      </c>
    </row>
    <row r="1357" spans="1:20" x14ac:dyDescent="0.3">
      <c r="A1357" t="s">
        <v>2733</v>
      </c>
      <c r="B1357" s="171" t="s">
        <v>2734</v>
      </c>
      <c r="C1357" s="171" t="s">
        <v>122</v>
      </c>
      <c r="D1357" s="171" t="s">
        <v>4</v>
      </c>
      <c r="E1357" s="11">
        <v>41395</v>
      </c>
    </row>
    <row r="1358" spans="1:20" x14ac:dyDescent="0.3">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x14ac:dyDescent="0.3">
      <c r="A1361" t="s">
        <v>2741</v>
      </c>
      <c r="B1361" s="171" t="s">
        <v>2742</v>
      </c>
      <c r="C1361" s="171" t="s">
        <v>134</v>
      </c>
      <c r="D1361" s="171" t="s">
        <v>80</v>
      </c>
      <c r="E1361" s="11">
        <v>41395</v>
      </c>
      <c r="H1361" t="e">
        <v>#DIV/0!</v>
      </c>
      <c r="K1361" t="e">
        <v>#DIV/0!</v>
      </c>
      <c r="M1361" t="e">
        <v>#DIV/0!</v>
      </c>
      <c r="R1361" t="e">
        <v>#DIV/0!</v>
      </c>
      <c r="T1361">
        <v>0.5</v>
      </c>
    </row>
    <row r="1362" spans="1:20" x14ac:dyDescent="0.3">
      <c r="A1362" t="s">
        <v>2743</v>
      </c>
      <c r="B1362" s="171" t="s">
        <v>2744</v>
      </c>
      <c r="C1362" s="171" t="s">
        <v>137</v>
      </c>
      <c r="D1362" s="171" t="s">
        <v>4</v>
      </c>
      <c r="E1362" s="11">
        <v>41395</v>
      </c>
      <c r="R1362" t="e">
        <v>#DIV/0!</v>
      </c>
    </row>
    <row r="1363" spans="1:20" x14ac:dyDescent="0.3">
      <c r="A1363" t="s">
        <v>2745</v>
      </c>
      <c r="B1363" s="171" t="s">
        <v>2746</v>
      </c>
      <c r="C1363" s="171" t="s">
        <v>140</v>
      </c>
      <c r="D1363" s="171" t="s">
        <v>80</v>
      </c>
      <c r="E1363" s="11">
        <v>41395</v>
      </c>
      <c r="R1363" t="e">
        <v>#DIV/0!</v>
      </c>
    </row>
    <row r="1364" spans="1:20" x14ac:dyDescent="0.3">
      <c r="A1364" t="s">
        <v>2747</v>
      </c>
      <c r="B1364" s="171" t="s">
        <v>2748</v>
      </c>
      <c r="C1364" s="171" t="s">
        <v>143</v>
      </c>
      <c r="D1364" s="171" t="s">
        <v>80</v>
      </c>
      <c r="E1364" s="11">
        <v>41395</v>
      </c>
      <c r="H1364" t="e">
        <v>#DIV/0!</v>
      </c>
      <c r="K1364" t="e">
        <v>#DIV/0!</v>
      </c>
      <c r="M1364" t="e">
        <v>#DIV/0!</v>
      </c>
      <c r="N1364">
        <v>0</v>
      </c>
      <c r="R1364" t="e">
        <v>#DIV/0!</v>
      </c>
    </row>
    <row r="1365" spans="1:20" x14ac:dyDescent="0.3">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2751</v>
      </c>
      <c r="B1366" s="171" t="s">
        <v>2752</v>
      </c>
      <c r="C1366" s="171" t="s">
        <v>149</v>
      </c>
      <c r="D1366" s="171" t="s">
        <v>80</v>
      </c>
      <c r="E1366" s="11">
        <v>41395</v>
      </c>
    </row>
    <row r="1367" spans="1:20" x14ac:dyDescent="0.3">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x14ac:dyDescent="0.3">
      <c r="A1369" t="s">
        <v>2757</v>
      </c>
      <c r="B1369" s="171" t="s">
        <v>2758</v>
      </c>
      <c r="C1369" s="171" t="s">
        <v>158</v>
      </c>
      <c r="D1369" s="171" t="s">
        <v>80</v>
      </c>
      <c r="E1369" s="11">
        <v>41395</v>
      </c>
    </row>
    <row r="1370" spans="1:20" x14ac:dyDescent="0.3">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2761</v>
      </c>
      <c r="B1371" s="171" t="s">
        <v>2762</v>
      </c>
      <c r="C1371" s="171" t="s">
        <v>164</v>
      </c>
      <c r="D1371" s="171" t="s">
        <v>80</v>
      </c>
      <c r="E1371" s="11">
        <v>41395</v>
      </c>
      <c r="T1371">
        <v>0.38461538461538464</v>
      </c>
    </row>
    <row r="1372" spans="1:20" x14ac:dyDescent="0.3">
      <c r="A1372" t="s">
        <v>2763</v>
      </c>
      <c r="B1372" s="171" t="s">
        <v>2764</v>
      </c>
      <c r="C1372" s="171" t="s">
        <v>167</v>
      </c>
      <c r="D1372" s="171" t="s">
        <v>4</v>
      </c>
      <c r="E1372" s="11">
        <v>41395</v>
      </c>
      <c r="R1372" t="e">
        <v>#DIV/0!</v>
      </c>
      <c r="T1372">
        <v>0.38461538461538464</v>
      </c>
    </row>
    <row r="1373" spans="1:20" x14ac:dyDescent="0.3">
      <c r="A1373" t="s">
        <v>2765</v>
      </c>
      <c r="B1373" s="171" t="s">
        <v>2766</v>
      </c>
      <c r="C1373" s="171" t="s">
        <v>170</v>
      </c>
      <c r="D1373" s="171" t="s">
        <v>80</v>
      </c>
      <c r="E1373" s="11">
        <v>41395</v>
      </c>
      <c r="R1373" t="e">
        <v>#DIV/0!</v>
      </c>
      <c r="T1373">
        <v>1.1666666666666667</v>
      </c>
    </row>
    <row r="1374" spans="1:20" x14ac:dyDescent="0.3">
      <c r="A1374" t="s">
        <v>2767</v>
      </c>
      <c r="B1374" s="171" t="s">
        <v>2768</v>
      </c>
      <c r="C1374" s="171" t="s">
        <v>173</v>
      </c>
      <c r="D1374" s="171" t="s">
        <v>80</v>
      </c>
      <c r="E1374" s="11">
        <v>41395</v>
      </c>
      <c r="I1374">
        <v>9</v>
      </c>
      <c r="N1374">
        <v>4</v>
      </c>
      <c r="P1374">
        <v>0</v>
      </c>
      <c r="Q1374">
        <v>2</v>
      </c>
      <c r="R1374">
        <v>0</v>
      </c>
      <c r="S1374">
        <v>5</v>
      </c>
      <c r="T1374">
        <v>0.875</v>
      </c>
    </row>
    <row r="1375" spans="1:20" x14ac:dyDescent="0.3">
      <c r="A1375" t="s">
        <v>2769</v>
      </c>
      <c r="B1375" s="171" t="s">
        <v>2770</v>
      </c>
      <c r="C1375" s="171" t="s">
        <v>176</v>
      </c>
      <c r="D1375" s="171" t="s">
        <v>80</v>
      </c>
      <c r="E1375" s="11">
        <v>41395</v>
      </c>
      <c r="I1375">
        <v>9</v>
      </c>
      <c r="N1375">
        <v>4</v>
      </c>
      <c r="P1375">
        <v>0</v>
      </c>
      <c r="Q1375">
        <v>2</v>
      </c>
      <c r="R1375">
        <v>0</v>
      </c>
      <c r="S1375">
        <v>5</v>
      </c>
    </row>
    <row r="1376" spans="1:20" x14ac:dyDescent="0.3">
      <c r="A1376" t="s">
        <v>2771</v>
      </c>
      <c r="B1376" s="171" t="s">
        <v>2772</v>
      </c>
      <c r="C1376" s="171" t="s">
        <v>179</v>
      </c>
      <c r="D1376" s="171" t="s">
        <v>4</v>
      </c>
      <c r="E1376" s="11">
        <v>41395</v>
      </c>
      <c r="R1376" t="e">
        <v>#DIV/0!</v>
      </c>
      <c r="T1376">
        <v>0</v>
      </c>
    </row>
    <row r="1377" spans="1:20" x14ac:dyDescent="0.3">
      <c r="A1377" t="s">
        <v>2773</v>
      </c>
      <c r="B1377" s="171" t="s">
        <v>2774</v>
      </c>
      <c r="C1377" s="171" t="s">
        <v>182</v>
      </c>
      <c r="D1377" s="171" t="s">
        <v>80</v>
      </c>
      <c r="E1377" s="11">
        <v>41395</v>
      </c>
      <c r="R1377" t="e">
        <v>#DIV/0!</v>
      </c>
    </row>
    <row r="1378" spans="1:20" x14ac:dyDescent="0.3">
      <c r="A1378" t="s">
        <v>2775</v>
      </c>
      <c r="B1378" s="171" t="s">
        <v>2776</v>
      </c>
      <c r="C1378" s="171" t="s">
        <v>185</v>
      </c>
      <c r="D1378" s="171" t="s">
        <v>4</v>
      </c>
      <c r="E1378" s="11">
        <v>41395</v>
      </c>
    </row>
    <row r="1379" spans="1:20" x14ac:dyDescent="0.3">
      <c r="A1379" t="s">
        <v>2777</v>
      </c>
      <c r="B1379" s="171" t="s">
        <v>2778</v>
      </c>
      <c r="C1379" s="171" t="s">
        <v>188</v>
      </c>
      <c r="D1379" s="171" t="s">
        <v>80</v>
      </c>
      <c r="E1379" s="11">
        <v>41395</v>
      </c>
    </row>
    <row r="1380" spans="1:20" x14ac:dyDescent="0.3">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2783</v>
      </c>
      <c r="B1382" s="171" t="s">
        <v>2784</v>
      </c>
      <c r="C1382" s="171" t="s">
        <v>197</v>
      </c>
      <c r="D1382" s="171" t="s">
        <v>80</v>
      </c>
      <c r="E1382" s="11">
        <v>41395</v>
      </c>
      <c r="H1382" t="e">
        <v>#DIV/0!</v>
      </c>
      <c r="K1382" t="e">
        <v>#DIV/0!</v>
      </c>
      <c r="M1382" t="e">
        <v>#DIV/0!</v>
      </c>
      <c r="R1382" t="e">
        <v>#DIV/0!</v>
      </c>
    </row>
    <row r="1383" spans="1:20" x14ac:dyDescent="0.3">
      <c r="A1383" t="s">
        <v>2785</v>
      </c>
      <c r="B1383" s="171" t="s">
        <v>2786</v>
      </c>
      <c r="C1383" s="171" t="s">
        <v>200</v>
      </c>
      <c r="D1383" s="171" t="s">
        <v>80</v>
      </c>
      <c r="E1383" s="11">
        <v>41395</v>
      </c>
      <c r="F1383">
        <v>0</v>
      </c>
      <c r="G1383">
        <v>0</v>
      </c>
      <c r="I1383">
        <v>6</v>
      </c>
      <c r="J1383">
        <v>0</v>
      </c>
      <c r="L1383">
        <v>0</v>
      </c>
      <c r="P1383">
        <v>1</v>
      </c>
      <c r="Q1383">
        <v>2</v>
      </c>
      <c r="R1383">
        <v>0.5</v>
      </c>
      <c r="T1383">
        <v>0</v>
      </c>
    </row>
    <row r="1384" spans="1:20" x14ac:dyDescent="0.3">
      <c r="A1384" t="s">
        <v>2787</v>
      </c>
      <c r="B1384" s="171" t="s">
        <v>2788</v>
      </c>
      <c r="C1384" s="171" t="s">
        <v>203</v>
      </c>
      <c r="D1384" s="171" t="s">
        <v>80</v>
      </c>
      <c r="E1384" s="11">
        <v>41395</v>
      </c>
    </row>
    <row r="1385" spans="1:20" x14ac:dyDescent="0.3">
      <c r="A1385" t="s">
        <v>2789</v>
      </c>
      <c r="B1385" s="171" t="s">
        <v>2790</v>
      </c>
      <c r="C1385" s="171" t="s">
        <v>206</v>
      </c>
      <c r="D1385" s="171" t="s">
        <v>80</v>
      </c>
      <c r="E1385" s="11">
        <v>41395</v>
      </c>
      <c r="I1385">
        <v>6</v>
      </c>
      <c r="P1385">
        <v>1</v>
      </c>
      <c r="Q1385">
        <v>2</v>
      </c>
      <c r="R1385">
        <v>0.5</v>
      </c>
    </row>
    <row r="1386" spans="1:20" x14ac:dyDescent="0.3">
      <c r="A1386" t="s">
        <v>2791</v>
      </c>
      <c r="B1386" s="171" t="s">
        <v>2792</v>
      </c>
      <c r="C1386" s="171" t="s">
        <v>209</v>
      </c>
      <c r="D1386" s="171" t="s">
        <v>80</v>
      </c>
      <c r="E1386" s="11">
        <v>41395</v>
      </c>
    </row>
    <row r="1387" spans="1:20" x14ac:dyDescent="0.3">
      <c r="A1387" t="s">
        <v>2793</v>
      </c>
      <c r="B1387" s="171" t="s">
        <v>2794</v>
      </c>
      <c r="C1387" s="171" t="s">
        <v>212</v>
      </c>
      <c r="D1387" s="171" t="s">
        <v>4</v>
      </c>
      <c r="E1387" s="11">
        <v>41395</v>
      </c>
      <c r="T1387">
        <v>0.85334615384615398</v>
      </c>
    </row>
    <row r="1388" spans="1:20" x14ac:dyDescent="0.3">
      <c r="A1388" t="s">
        <v>2795</v>
      </c>
      <c r="B1388" s="171" t="s">
        <v>2796</v>
      </c>
      <c r="C1388" s="171" t="s">
        <v>215</v>
      </c>
      <c r="D1388" s="171" t="s">
        <v>4</v>
      </c>
      <c r="E1388" s="11">
        <v>41395</v>
      </c>
      <c r="R1388" t="e">
        <v>#DIV/0!</v>
      </c>
      <c r="T1388">
        <v>0.83425000000000005</v>
      </c>
    </row>
    <row r="1389" spans="1:20" x14ac:dyDescent="0.3">
      <c r="A1389" t="s">
        <v>2797</v>
      </c>
      <c r="B1389" s="171" t="s">
        <v>2798</v>
      </c>
      <c r="C1389" s="171" t="s">
        <v>218</v>
      </c>
      <c r="D1389" s="171" t="s">
        <v>80</v>
      </c>
      <c r="E1389" s="11">
        <v>41395</v>
      </c>
      <c r="R1389" t="e">
        <v>#DIV/0!</v>
      </c>
      <c r="T1389">
        <v>0.91700000000000004</v>
      </c>
    </row>
    <row r="1390" spans="1:20" x14ac:dyDescent="0.3">
      <c r="A1390" t="s">
        <v>2799</v>
      </c>
      <c r="B1390" s="171" t="s">
        <v>2800</v>
      </c>
      <c r="C1390" s="171" t="s">
        <v>221</v>
      </c>
      <c r="D1390" s="171" t="s">
        <v>4</v>
      </c>
      <c r="E1390" s="11">
        <v>41395</v>
      </c>
      <c r="F1390">
        <v>0</v>
      </c>
      <c r="G1390">
        <v>0</v>
      </c>
      <c r="I1390">
        <v>0</v>
      </c>
      <c r="L1390">
        <v>0</v>
      </c>
      <c r="N1390">
        <v>5</v>
      </c>
      <c r="S1390">
        <v>2</v>
      </c>
      <c r="T1390">
        <v>1</v>
      </c>
    </row>
    <row r="1391" spans="1:20" x14ac:dyDescent="0.3">
      <c r="A1391" t="s">
        <v>2801</v>
      </c>
      <c r="B1391" s="171" t="s">
        <v>2802</v>
      </c>
      <c r="C1391" s="171" t="s">
        <v>224</v>
      </c>
      <c r="D1391" s="171" t="s">
        <v>80</v>
      </c>
      <c r="E1391" s="11">
        <v>41395</v>
      </c>
      <c r="T1391">
        <v>1</v>
      </c>
    </row>
    <row r="1392" spans="1:20" x14ac:dyDescent="0.3">
      <c r="A1392" t="s">
        <v>2803</v>
      </c>
      <c r="B1392" s="171" t="s">
        <v>2804</v>
      </c>
      <c r="C1392" s="171" t="s">
        <v>227</v>
      </c>
      <c r="D1392" s="171" t="s">
        <v>80</v>
      </c>
      <c r="E1392" s="11">
        <v>41395</v>
      </c>
      <c r="N1392">
        <v>5</v>
      </c>
      <c r="P1392">
        <v>0</v>
      </c>
      <c r="Q1392">
        <v>0</v>
      </c>
      <c r="S1392">
        <v>2</v>
      </c>
      <c r="T1392">
        <v>0</v>
      </c>
    </row>
    <row r="1393" spans="1:20" x14ac:dyDescent="0.3">
      <c r="A1393" t="s">
        <v>2805</v>
      </c>
      <c r="B1393" s="171" t="s">
        <v>2806</v>
      </c>
      <c r="C1393" s="171" t="s">
        <v>230</v>
      </c>
      <c r="D1393" s="171" t="s">
        <v>80</v>
      </c>
      <c r="E1393" s="11">
        <v>41395</v>
      </c>
      <c r="T1393">
        <v>1</v>
      </c>
    </row>
    <row r="1394" spans="1:20" x14ac:dyDescent="0.3">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2813</v>
      </c>
      <c r="B1397" s="171" t="s">
        <v>2814</v>
      </c>
      <c r="C1397" s="171" t="s">
        <v>76</v>
      </c>
      <c r="D1397" s="171" t="s">
        <v>80</v>
      </c>
      <c r="E1397" s="11">
        <v>41395</v>
      </c>
      <c r="T1397">
        <v>0</v>
      </c>
    </row>
    <row r="1398" spans="1:20" x14ac:dyDescent="0.3">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x14ac:dyDescent="0.3">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x14ac:dyDescent="0.3">
      <c r="A1407" t="s">
        <v>2833</v>
      </c>
      <c r="B1407" s="171" t="s">
        <v>2834</v>
      </c>
      <c r="C1407" s="171" t="s">
        <v>116</v>
      </c>
      <c r="D1407" s="171" t="s">
        <v>4</v>
      </c>
      <c r="E1407" s="11">
        <v>41395</v>
      </c>
      <c r="H1407" t="e">
        <v>#DIV/0!</v>
      </c>
      <c r="K1407" t="e">
        <v>#DIV/0!</v>
      </c>
      <c r="M1407" t="e">
        <v>#DIV/0!</v>
      </c>
      <c r="R1407" t="e">
        <v>#DIV/0!</v>
      </c>
      <c r="T1407">
        <v>1.1181159420289855</v>
      </c>
    </row>
    <row r="1408" spans="1:20" x14ac:dyDescent="0.3">
      <c r="A1408" t="s">
        <v>2835</v>
      </c>
      <c r="B1408" s="171" t="s">
        <v>2836</v>
      </c>
      <c r="C1408" s="171" t="s">
        <v>119</v>
      </c>
      <c r="D1408" s="171" t="s">
        <v>4</v>
      </c>
      <c r="E1408" s="11">
        <v>41395</v>
      </c>
      <c r="T1408">
        <v>1.0249999999999999</v>
      </c>
    </row>
    <row r="1409" spans="1:20" x14ac:dyDescent="0.3">
      <c r="A1409" t="s">
        <v>2837</v>
      </c>
      <c r="B1409" s="171" t="s">
        <v>2838</v>
      </c>
      <c r="C1409" s="171" t="s">
        <v>122</v>
      </c>
      <c r="D1409" s="171" t="s">
        <v>80</v>
      </c>
      <c r="E1409" s="11">
        <v>41395</v>
      </c>
      <c r="T1409">
        <v>0.86956521739130432</v>
      </c>
    </row>
    <row r="1410" spans="1:20" x14ac:dyDescent="0.3">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x14ac:dyDescent="0.3">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x14ac:dyDescent="0.3">
      <c r="A1413" t="s">
        <v>2845</v>
      </c>
      <c r="B1413" s="171" t="s">
        <v>2846</v>
      </c>
      <c r="C1413" s="171" t="s">
        <v>134</v>
      </c>
      <c r="D1413" s="171" t="s">
        <v>4</v>
      </c>
      <c r="E1413" s="11">
        <v>41395</v>
      </c>
      <c r="H1413" t="e">
        <v>#DIV/0!</v>
      </c>
      <c r="K1413" t="e">
        <v>#DIV/0!</v>
      </c>
      <c r="M1413" t="e">
        <v>#DIV/0!</v>
      </c>
      <c r="R1413" t="e">
        <v>#DIV/0!</v>
      </c>
    </row>
    <row r="1414" spans="1:20" x14ac:dyDescent="0.3">
      <c r="A1414" t="s">
        <v>2847</v>
      </c>
      <c r="B1414" s="171" t="s">
        <v>2848</v>
      </c>
      <c r="C1414" s="171" t="s">
        <v>137</v>
      </c>
      <c r="D1414" s="171" t="s">
        <v>80</v>
      </c>
      <c r="E1414" s="11">
        <v>41395</v>
      </c>
      <c r="R1414" t="e">
        <v>#DIV/0!</v>
      </c>
      <c r="T1414">
        <v>1.2777777777777779</v>
      </c>
    </row>
    <row r="1415" spans="1:20" x14ac:dyDescent="0.3">
      <c r="A1415" t="s">
        <v>2849</v>
      </c>
      <c r="B1415" s="171" t="s">
        <v>2850</v>
      </c>
      <c r="C1415" s="171" t="s">
        <v>140</v>
      </c>
      <c r="D1415" s="171" t="s">
        <v>4</v>
      </c>
      <c r="E1415" s="11">
        <v>41395</v>
      </c>
      <c r="R1415" t="e">
        <v>#DIV/0!</v>
      </c>
    </row>
    <row r="1416" spans="1:20" x14ac:dyDescent="0.3">
      <c r="A1416" t="s">
        <v>2851</v>
      </c>
      <c r="B1416" s="171" t="s">
        <v>2852</v>
      </c>
      <c r="C1416" s="171" t="s">
        <v>167</v>
      </c>
      <c r="D1416" s="171" t="s">
        <v>80</v>
      </c>
      <c r="E1416" s="11">
        <v>41395</v>
      </c>
      <c r="R1416" t="e">
        <v>#DIV/0!</v>
      </c>
      <c r="T1416">
        <v>1.25</v>
      </c>
    </row>
    <row r="1417" spans="1:20" x14ac:dyDescent="0.3">
      <c r="A1417" t="s">
        <v>2853</v>
      </c>
      <c r="B1417" s="171" t="s">
        <v>2854</v>
      </c>
      <c r="C1417" s="171" t="s">
        <v>170</v>
      </c>
      <c r="D1417" s="171" t="s">
        <v>4</v>
      </c>
      <c r="E1417" s="11">
        <v>41395</v>
      </c>
      <c r="R1417" t="e">
        <v>#DIV/0!</v>
      </c>
      <c r="T1417">
        <v>0.5</v>
      </c>
    </row>
    <row r="1418" spans="1:20" x14ac:dyDescent="0.3">
      <c r="A1418" t="s">
        <v>2855</v>
      </c>
      <c r="B1418" s="171" t="s">
        <v>2856</v>
      </c>
      <c r="C1418" s="171" t="s">
        <v>179</v>
      </c>
      <c r="D1418" s="171" t="s">
        <v>80</v>
      </c>
      <c r="E1418" s="11">
        <v>41395</v>
      </c>
      <c r="R1418" t="e">
        <v>#DIV/0!</v>
      </c>
    </row>
    <row r="1419" spans="1:20" x14ac:dyDescent="0.3">
      <c r="A1419" t="s">
        <v>2857</v>
      </c>
      <c r="B1419" s="171" t="s">
        <v>2858</v>
      </c>
      <c r="C1419" s="171" t="s">
        <v>182</v>
      </c>
      <c r="D1419" s="171" t="s">
        <v>4</v>
      </c>
      <c r="E1419" s="11">
        <v>41395</v>
      </c>
      <c r="R1419" t="e">
        <v>#DIV/0!</v>
      </c>
    </row>
    <row r="1420" spans="1:20" x14ac:dyDescent="0.3">
      <c r="A1420" t="s">
        <v>2859</v>
      </c>
      <c r="B1420" s="171" t="s">
        <v>2860</v>
      </c>
      <c r="C1420" s="171" t="s">
        <v>185</v>
      </c>
      <c r="D1420" s="171" t="s">
        <v>80</v>
      </c>
      <c r="E1420" s="11">
        <v>41395</v>
      </c>
    </row>
    <row r="1421" spans="1:20" x14ac:dyDescent="0.3">
      <c r="A1421" t="s">
        <v>2861</v>
      </c>
      <c r="B1421" s="171" t="s">
        <v>2862</v>
      </c>
      <c r="C1421" s="171" t="s">
        <v>188</v>
      </c>
      <c r="D1421" s="171" t="s">
        <v>4</v>
      </c>
      <c r="E1421" s="11">
        <v>41395</v>
      </c>
    </row>
    <row r="1422" spans="1:20" x14ac:dyDescent="0.3">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2867</v>
      </c>
      <c r="B1424" s="171" t="s">
        <v>2868</v>
      </c>
      <c r="C1424" s="171" t="s">
        <v>197</v>
      </c>
      <c r="D1424" s="171" t="s">
        <v>4</v>
      </c>
      <c r="E1424" s="11">
        <v>41395</v>
      </c>
      <c r="H1424" t="e">
        <v>#DIV/0!</v>
      </c>
      <c r="K1424" t="e">
        <v>#DIV/0!</v>
      </c>
      <c r="M1424" t="e">
        <v>#DIV/0!</v>
      </c>
      <c r="R1424" t="e">
        <v>#DIV/0!</v>
      </c>
    </row>
    <row r="1425" spans="1:20" x14ac:dyDescent="0.3">
      <c r="A1425" t="s">
        <v>2869</v>
      </c>
      <c r="B1425" s="171" t="s">
        <v>2870</v>
      </c>
      <c r="C1425" s="171" t="s">
        <v>209</v>
      </c>
      <c r="D1425" s="171" t="s">
        <v>4</v>
      </c>
      <c r="E1425" s="11">
        <v>41395</v>
      </c>
    </row>
    <row r="1426" spans="1:20" x14ac:dyDescent="0.3">
      <c r="A1426" t="s">
        <v>2871</v>
      </c>
      <c r="B1426" s="171" t="s">
        <v>2872</v>
      </c>
      <c r="C1426" s="171" t="s">
        <v>212</v>
      </c>
      <c r="D1426" s="171" t="s">
        <v>80</v>
      </c>
      <c r="E1426" s="11">
        <v>41395</v>
      </c>
    </row>
    <row r="1427" spans="1:20" x14ac:dyDescent="0.3">
      <c r="A1427" t="s">
        <v>2873</v>
      </c>
      <c r="B1427" s="171" t="s">
        <v>2874</v>
      </c>
      <c r="C1427" s="171" t="s">
        <v>215</v>
      </c>
      <c r="D1427" s="171" t="s">
        <v>80</v>
      </c>
      <c r="E1427" s="11">
        <v>41395</v>
      </c>
      <c r="R1427" t="e">
        <v>#DIV/0!</v>
      </c>
      <c r="T1427">
        <v>0.4</v>
      </c>
    </row>
    <row r="1428" spans="1:20" x14ac:dyDescent="0.3">
      <c r="A1428" t="s">
        <v>2875</v>
      </c>
      <c r="B1428" s="171" t="s">
        <v>2876</v>
      </c>
      <c r="C1428" s="171" t="s">
        <v>218</v>
      </c>
      <c r="D1428" s="171" t="s">
        <v>4</v>
      </c>
      <c r="E1428" s="11">
        <v>41395</v>
      </c>
      <c r="R1428" t="e">
        <v>#DIV/0!</v>
      </c>
      <c r="T1428">
        <v>0.4</v>
      </c>
    </row>
    <row r="1429" spans="1:20" x14ac:dyDescent="0.3">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2883</v>
      </c>
      <c r="B1432" s="171" t="s">
        <v>2884</v>
      </c>
      <c r="C1432" s="171" t="s">
        <v>143</v>
      </c>
      <c r="D1432" s="171" t="s">
        <v>4</v>
      </c>
      <c r="E1432" s="11">
        <v>41395</v>
      </c>
      <c r="H1432" t="e">
        <v>#DIV/0!</v>
      </c>
      <c r="K1432" t="e">
        <v>#DIV/0!</v>
      </c>
      <c r="M1432" t="e">
        <v>#DIV/0!</v>
      </c>
      <c r="N1432">
        <v>0</v>
      </c>
      <c r="R1432" t="e">
        <v>#DIV/0!</v>
      </c>
      <c r="T1432">
        <v>0.54545454545454541</v>
      </c>
    </row>
    <row r="1433" spans="1:20" x14ac:dyDescent="0.3">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2887</v>
      </c>
      <c r="B1434" s="171" t="s">
        <v>2888</v>
      </c>
      <c r="C1434" s="171" t="s">
        <v>149</v>
      </c>
      <c r="D1434" s="171" t="s">
        <v>4</v>
      </c>
      <c r="E1434" s="11">
        <v>41395</v>
      </c>
    </row>
    <row r="1435" spans="1:20" x14ac:dyDescent="0.3">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x14ac:dyDescent="0.3">
      <c r="A1437" t="s">
        <v>2893</v>
      </c>
      <c r="B1437" s="171" t="s">
        <v>2894</v>
      </c>
      <c r="C1437" s="171" t="s">
        <v>158</v>
      </c>
      <c r="D1437" s="171" t="s">
        <v>4</v>
      </c>
      <c r="E1437" s="11">
        <v>41395</v>
      </c>
    </row>
    <row r="1438" spans="1:20" x14ac:dyDescent="0.3">
      <c r="A1438" t="s">
        <v>2895</v>
      </c>
      <c r="B1438" s="171" t="s">
        <v>2896</v>
      </c>
      <c r="C1438" s="171" t="s">
        <v>164</v>
      </c>
      <c r="D1438" s="171" t="s">
        <v>4</v>
      </c>
      <c r="E1438" s="11">
        <v>41395</v>
      </c>
    </row>
    <row r="1439" spans="1:20" x14ac:dyDescent="0.3">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2899</v>
      </c>
      <c r="B1440" s="171" t="s">
        <v>2900</v>
      </c>
      <c r="C1440" s="171" t="s">
        <v>221</v>
      </c>
      <c r="D1440" s="171" t="s">
        <v>80</v>
      </c>
      <c r="E1440" s="11">
        <v>41395</v>
      </c>
      <c r="F1440">
        <v>0</v>
      </c>
      <c r="G1440">
        <v>0</v>
      </c>
      <c r="I1440">
        <v>0</v>
      </c>
      <c r="L1440">
        <v>0</v>
      </c>
      <c r="N1440">
        <v>5</v>
      </c>
      <c r="S1440">
        <v>2</v>
      </c>
    </row>
    <row r="1441" spans="1:20" x14ac:dyDescent="0.3">
      <c r="A1441" t="s">
        <v>2901</v>
      </c>
      <c r="B1441" s="171" t="s">
        <v>2902</v>
      </c>
      <c r="C1441" s="171" t="s">
        <v>224</v>
      </c>
      <c r="D1441" s="171" t="s">
        <v>4</v>
      </c>
      <c r="E1441" s="11">
        <v>41395</v>
      </c>
      <c r="T1441">
        <v>1</v>
      </c>
    </row>
    <row r="1442" spans="1:20" x14ac:dyDescent="0.3">
      <c r="A1442" t="s">
        <v>2903</v>
      </c>
      <c r="B1442" s="171" t="s">
        <v>2904</v>
      </c>
      <c r="C1442" s="171" t="s">
        <v>227</v>
      </c>
      <c r="D1442" s="171" t="s">
        <v>4</v>
      </c>
      <c r="E1442" s="11">
        <v>41395</v>
      </c>
      <c r="N1442">
        <v>5</v>
      </c>
      <c r="P1442">
        <v>0</v>
      </c>
      <c r="Q1442">
        <v>0</v>
      </c>
      <c r="S1442">
        <v>2</v>
      </c>
    </row>
    <row r="1443" spans="1:20" x14ac:dyDescent="0.3">
      <c r="A1443" t="s">
        <v>2905</v>
      </c>
      <c r="B1443" s="171" t="s">
        <v>2906</v>
      </c>
      <c r="C1443" s="171" t="s">
        <v>230</v>
      </c>
      <c r="D1443" s="171" t="s">
        <v>4</v>
      </c>
      <c r="E1443" s="11">
        <v>41395</v>
      </c>
      <c r="T1443">
        <v>0.81640000000000001</v>
      </c>
    </row>
    <row r="1444" spans="1:20" x14ac:dyDescent="0.3">
      <c r="A1444" t="s">
        <v>2907</v>
      </c>
      <c r="B1444" s="171" t="s">
        <v>2908</v>
      </c>
      <c r="C1444" s="171" t="s">
        <v>73</v>
      </c>
      <c r="D1444" s="171" t="s">
        <v>4</v>
      </c>
      <c r="E1444" s="11">
        <v>41426</v>
      </c>
      <c r="P1444">
        <v>2</v>
      </c>
      <c r="Q1444">
        <v>2</v>
      </c>
      <c r="R1444">
        <v>1</v>
      </c>
      <c r="T1444">
        <v>0.83425000000000005</v>
      </c>
    </row>
    <row r="1445" spans="1:20" x14ac:dyDescent="0.3">
      <c r="A1445" t="s">
        <v>2909</v>
      </c>
      <c r="B1445" s="171" t="s">
        <v>2910</v>
      </c>
      <c r="C1445" s="171" t="s">
        <v>76</v>
      </c>
      <c r="D1445" s="171" t="s">
        <v>4</v>
      </c>
      <c r="E1445" s="11">
        <v>41426</v>
      </c>
      <c r="P1445">
        <v>2</v>
      </c>
      <c r="Q1445">
        <v>2</v>
      </c>
      <c r="R1445">
        <v>1</v>
      </c>
      <c r="T1445">
        <v>0.745</v>
      </c>
    </row>
    <row r="1446" spans="1:20" x14ac:dyDescent="0.3">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x14ac:dyDescent="0.3">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x14ac:dyDescent="0.3">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x14ac:dyDescent="0.3">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x14ac:dyDescent="0.3">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2933</v>
      </c>
      <c r="B1457" s="171" t="s">
        <v>2934</v>
      </c>
      <c r="C1457" s="171" t="s">
        <v>113</v>
      </c>
      <c r="D1457" s="171" t="s">
        <v>80</v>
      </c>
      <c r="E1457" s="11">
        <v>41426</v>
      </c>
      <c r="L1457">
        <v>20</v>
      </c>
      <c r="M1457">
        <v>0</v>
      </c>
      <c r="R1457">
        <v>0</v>
      </c>
      <c r="T1457">
        <v>0.94861111111111107</v>
      </c>
    </row>
    <row r="1458" spans="1:20" x14ac:dyDescent="0.3">
      <c r="A1458" t="s">
        <v>2935</v>
      </c>
      <c r="B1458" s="171" t="s">
        <v>2936</v>
      </c>
      <c r="C1458" s="171" t="s">
        <v>116</v>
      </c>
      <c r="D1458" s="171" t="s">
        <v>80</v>
      </c>
      <c r="E1458" s="11">
        <v>41426</v>
      </c>
      <c r="H1458" t="e">
        <v>#DIV/0!</v>
      </c>
      <c r="K1458" t="e">
        <v>#DIV/0!</v>
      </c>
      <c r="M1458" t="e">
        <v>#DIV/0!</v>
      </c>
      <c r="R1458" t="e">
        <v>#DIV/0!</v>
      </c>
      <c r="T1458">
        <v>0.92500000000000004</v>
      </c>
    </row>
    <row r="1459" spans="1:20" x14ac:dyDescent="0.3">
      <c r="A1459" t="s">
        <v>2937</v>
      </c>
      <c r="B1459" s="171" t="s">
        <v>2938</v>
      </c>
      <c r="C1459" s="171" t="s">
        <v>119</v>
      </c>
      <c r="D1459" s="171" t="s">
        <v>80</v>
      </c>
      <c r="E1459" s="11">
        <v>41426</v>
      </c>
      <c r="R1459" t="e">
        <v>#DIV/0!</v>
      </c>
      <c r="T1459">
        <v>0.77777777777777779</v>
      </c>
    </row>
    <row r="1460" spans="1:20" x14ac:dyDescent="0.3">
      <c r="A1460" t="s">
        <v>2939</v>
      </c>
      <c r="B1460" s="171" t="s">
        <v>2940</v>
      </c>
      <c r="C1460" s="171" t="s">
        <v>122</v>
      </c>
      <c r="D1460" s="171" t="s">
        <v>4</v>
      </c>
      <c r="E1460" s="11">
        <v>41426</v>
      </c>
      <c r="R1460" t="e">
        <v>#DIV/0!</v>
      </c>
    </row>
    <row r="1461" spans="1:20" x14ac:dyDescent="0.3">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2945</v>
      </c>
      <c r="B1463" s="171" t="s">
        <v>2946</v>
      </c>
      <c r="C1463" s="171" t="s">
        <v>131</v>
      </c>
      <c r="D1463" s="171" t="s">
        <v>80</v>
      </c>
      <c r="E1463" s="11">
        <v>41426</v>
      </c>
      <c r="L1463">
        <v>27.5</v>
      </c>
      <c r="M1463">
        <v>0</v>
      </c>
      <c r="T1463">
        <v>0.74175824175824168</v>
      </c>
    </row>
    <row r="1464" spans="1:20" x14ac:dyDescent="0.3">
      <c r="A1464" t="s">
        <v>2947</v>
      </c>
      <c r="B1464" s="171" t="s">
        <v>2948</v>
      </c>
      <c r="C1464" s="171" t="s">
        <v>134</v>
      </c>
      <c r="D1464" s="171" t="s">
        <v>80</v>
      </c>
      <c r="E1464" s="11">
        <v>41426</v>
      </c>
      <c r="H1464" t="e">
        <v>#DIV/0!</v>
      </c>
      <c r="K1464" t="e">
        <v>#DIV/0!</v>
      </c>
      <c r="M1464" t="e">
        <v>#DIV/0!</v>
      </c>
      <c r="R1464" t="e">
        <v>#DIV/0!</v>
      </c>
      <c r="T1464">
        <v>1.075</v>
      </c>
    </row>
    <row r="1465" spans="1:20" x14ac:dyDescent="0.3">
      <c r="A1465" t="s">
        <v>2949</v>
      </c>
      <c r="B1465" s="171" t="s">
        <v>2950</v>
      </c>
      <c r="C1465" s="171" t="s">
        <v>137</v>
      </c>
      <c r="D1465" s="171" t="s">
        <v>4</v>
      </c>
      <c r="E1465" s="11">
        <v>41426</v>
      </c>
      <c r="R1465" t="e">
        <v>#DIV/0!</v>
      </c>
      <c r="T1465">
        <v>0.61904761904761907</v>
      </c>
    </row>
    <row r="1466" spans="1:20" x14ac:dyDescent="0.3">
      <c r="A1466" t="s">
        <v>2951</v>
      </c>
      <c r="B1466" s="171" t="s">
        <v>2952</v>
      </c>
      <c r="C1466" s="171" t="s">
        <v>140</v>
      </c>
      <c r="D1466" s="171" t="s">
        <v>80</v>
      </c>
      <c r="E1466" s="11">
        <v>41426</v>
      </c>
      <c r="R1466" t="e">
        <v>#DIV/0!</v>
      </c>
    </row>
    <row r="1467" spans="1:20" x14ac:dyDescent="0.3">
      <c r="A1467" t="s">
        <v>2953</v>
      </c>
      <c r="B1467" s="171" t="s">
        <v>2954</v>
      </c>
      <c r="C1467" s="171" t="s">
        <v>143</v>
      </c>
      <c r="D1467" s="171" t="s">
        <v>80</v>
      </c>
      <c r="E1467" s="11">
        <v>41426</v>
      </c>
      <c r="H1467" t="e">
        <v>#DIV/0!</v>
      </c>
      <c r="K1467" t="e">
        <v>#DIV/0!</v>
      </c>
      <c r="M1467" t="e">
        <v>#DIV/0!</v>
      </c>
      <c r="N1467">
        <v>0</v>
      </c>
      <c r="R1467" t="e">
        <v>#DIV/0!</v>
      </c>
    </row>
    <row r="1468" spans="1:20" x14ac:dyDescent="0.3">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2957</v>
      </c>
      <c r="B1469" s="171" t="s">
        <v>2958</v>
      </c>
      <c r="C1469" s="171" t="s">
        <v>149</v>
      </c>
      <c r="D1469" s="171" t="s">
        <v>80</v>
      </c>
      <c r="E1469" s="11">
        <v>41426</v>
      </c>
    </row>
    <row r="1470" spans="1:20" x14ac:dyDescent="0.3">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x14ac:dyDescent="0.3">
      <c r="A1472" t="s">
        <v>2963</v>
      </c>
      <c r="B1472" s="171" t="s">
        <v>2964</v>
      </c>
      <c r="C1472" s="171" t="s">
        <v>158</v>
      </c>
      <c r="D1472" s="171" t="s">
        <v>80</v>
      </c>
      <c r="E1472" s="11">
        <v>41426</v>
      </c>
      <c r="P1472">
        <v>0</v>
      </c>
      <c r="Q1472">
        <v>0</v>
      </c>
      <c r="T1472">
        <v>0.95</v>
      </c>
    </row>
    <row r="1473" spans="1:20" x14ac:dyDescent="0.3">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2967</v>
      </c>
      <c r="B1474" s="171" t="s">
        <v>2968</v>
      </c>
      <c r="C1474" s="171" t="s">
        <v>164</v>
      </c>
      <c r="D1474" s="171" t="s">
        <v>80</v>
      </c>
      <c r="E1474" s="11">
        <v>41426</v>
      </c>
      <c r="P1474">
        <v>0</v>
      </c>
      <c r="Q1474">
        <v>0</v>
      </c>
    </row>
    <row r="1475" spans="1:20" x14ac:dyDescent="0.3">
      <c r="A1475" t="s">
        <v>2969</v>
      </c>
      <c r="B1475" s="171" t="s">
        <v>2970</v>
      </c>
      <c r="C1475" s="171" t="s">
        <v>167</v>
      </c>
      <c r="D1475" s="171" t="s">
        <v>4</v>
      </c>
      <c r="E1475" s="11">
        <v>41426</v>
      </c>
      <c r="R1475" t="e">
        <v>#DIV/0!</v>
      </c>
    </row>
    <row r="1476" spans="1:20" x14ac:dyDescent="0.3">
      <c r="A1476" t="s">
        <v>2971</v>
      </c>
      <c r="B1476" s="171" t="s">
        <v>2972</v>
      </c>
      <c r="C1476" s="171" t="s">
        <v>170</v>
      </c>
      <c r="D1476" s="171" t="s">
        <v>80</v>
      </c>
      <c r="E1476" s="11">
        <v>41426</v>
      </c>
      <c r="R1476" t="e">
        <v>#DIV/0!</v>
      </c>
    </row>
    <row r="1477" spans="1:20" x14ac:dyDescent="0.3">
      <c r="A1477" t="s">
        <v>2973</v>
      </c>
      <c r="B1477" s="171" t="s">
        <v>2974</v>
      </c>
      <c r="C1477" s="171" t="s">
        <v>173</v>
      </c>
      <c r="D1477" s="171" t="s">
        <v>80</v>
      </c>
      <c r="E1477" s="11">
        <v>41426</v>
      </c>
      <c r="I1477">
        <v>5</v>
      </c>
      <c r="N1477">
        <v>5</v>
      </c>
      <c r="P1477">
        <v>2</v>
      </c>
      <c r="Q1477">
        <v>4</v>
      </c>
      <c r="R1477">
        <v>0.5</v>
      </c>
      <c r="S1477">
        <v>0</v>
      </c>
    </row>
    <row r="1478" spans="1:20" x14ac:dyDescent="0.3">
      <c r="A1478" t="s">
        <v>2975</v>
      </c>
      <c r="B1478" s="171" t="s">
        <v>2976</v>
      </c>
      <c r="C1478" s="171" t="s">
        <v>176</v>
      </c>
      <c r="D1478" s="171" t="s">
        <v>80</v>
      </c>
      <c r="E1478" s="11">
        <v>41426</v>
      </c>
      <c r="I1478">
        <v>5</v>
      </c>
      <c r="N1478">
        <v>5</v>
      </c>
      <c r="P1478">
        <v>2</v>
      </c>
      <c r="Q1478">
        <v>4</v>
      </c>
      <c r="R1478">
        <v>0.5</v>
      </c>
      <c r="S1478">
        <v>0</v>
      </c>
    </row>
    <row r="1479" spans="1:20" x14ac:dyDescent="0.3">
      <c r="A1479" t="s">
        <v>2977</v>
      </c>
      <c r="B1479" s="171" t="s">
        <v>2978</v>
      </c>
      <c r="C1479" s="171" t="s">
        <v>179</v>
      </c>
      <c r="D1479" s="171" t="s">
        <v>4</v>
      </c>
      <c r="E1479" s="11">
        <v>41426</v>
      </c>
      <c r="R1479" t="e">
        <v>#DIV/0!</v>
      </c>
    </row>
    <row r="1480" spans="1:20" x14ac:dyDescent="0.3">
      <c r="A1480" t="s">
        <v>2979</v>
      </c>
      <c r="B1480" s="171" t="s">
        <v>2980</v>
      </c>
      <c r="C1480" s="171" t="s">
        <v>182</v>
      </c>
      <c r="D1480" s="171" t="s">
        <v>80</v>
      </c>
      <c r="E1480" s="11">
        <v>41426</v>
      </c>
      <c r="R1480" t="e">
        <v>#DIV/0!</v>
      </c>
    </row>
    <row r="1481" spans="1:20" x14ac:dyDescent="0.3">
      <c r="A1481" t="s">
        <v>2981</v>
      </c>
      <c r="B1481" s="171" t="s">
        <v>2982</v>
      </c>
      <c r="C1481" s="171" t="s">
        <v>185</v>
      </c>
      <c r="D1481" s="171" t="s">
        <v>4</v>
      </c>
      <c r="E1481" s="11">
        <v>41426</v>
      </c>
    </row>
    <row r="1482" spans="1:20" x14ac:dyDescent="0.3">
      <c r="A1482" t="s">
        <v>2983</v>
      </c>
      <c r="B1482" s="171" t="s">
        <v>2984</v>
      </c>
      <c r="C1482" s="171" t="s">
        <v>188</v>
      </c>
      <c r="D1482" s="171" t="s">
        <v>80</v>
      </c>
      <c r="E1482" s="11">
        <v>41426</v>
      </c>
    </row>
    <row r="1483" spans="1:20" x14ac:dyDescent="0.3">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2989</v>
      </c>
      <c r="B1485" s="171" t="s">
        <v>2990</v>
      </c>
      <c r="C1485" s="171" t="s">
        <v>197</v>
      </c>
      <c r="D1485" s="171" t="s">
        <v>80</v>
      </c>
      <c r="E1485" s="11">
        <v>41426</v>
      </c>
      <c r="H1485" t="e">
        <v>#DIV/0!</v>
      </c>
      <c r="K1485" t="e">
        <v>#DIV/0!</v>
      </c>
      <c r="M1485" t="e">
        <v>#DIV/0!</v>
      </c>
      <c r="R1485" t="e">
        <v>#DIV/0!</v>
      </c>
      <c r="T1485">
        <v>1.3</v>
      </c>
    </row>
    <row r="1486" spans="1:20" x14ac:dyDescent="0.3">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x14ac:dyDescent="0.3">
      <c r="A1487" t="s">
        <v>2993</v>
      </c>
      <c r="B1487" s="171" t="s">
        <v>2994</v>
      </c>
      <c r="C1487" s="171" t="s">
        <v>203</v>
      </c>
      <c r="D1487" s="171" t="s">
        <v>80</v>
      </c>
      <c r="E1487" s="11">
        <v>41426</v>
      </c>
    </row>
    <row r="1488" spans="1:20" x14ac:dyDescent="0.3">
      <c r="A1488" t="s">
        <v>2995</v>
      </c>
      <c r="B1488" s="171" t="s">
        <v>2996</v>
      </c>
      <c r="C1488" s="171" t="s">
        <v>206</v>
      </c>
      <c r="D1488" s="171" t="s">
        <v>80</v>
      </c>
      <c r="E1488" s="11">
        <v>41426</v>
      </c>
      <c r="I1488">
        <v>2</v>
      </c>
      <c r="P1488">
        <v>3</v>
      </c>
      <c r="Q1488">
        <v>4</v>
      </c>
      <c r="R1488">
        <v>0.75</v>
      </c>
      <c r="T1488">
        <v>0.54545454545454541</v>
      </c>
    </row>
    <row r="1489" spans="1:20" x14ac:dyDescent="0.3">
      <c r="A1489" t="s">
        <v>2997</v>
      </c>
      <c r="B1489" s="171" t="s">
        <v>2998</v>
      </c>
      <c r="C1489" s="171" t="s">
        <v>209</v>
      </c>
      <c r="D1489" s="171" t="s">
        <v>80</v>
      </c>
      <c r="E1489" s="11">
        <v>41426</v>
      </c>
      <c r="R1489" t="e">
        <v>#DIV/0!</v>
      </c>
      <c r="T1489">
        <v>1</v>
      </c>
    </row>
    <row r="1490" spans="1:20" x14ac:dyDescent="0.3">
      <c r="A1490" t="s">
        <v>2999</v>
      </c>
      <c r="B1490" s="171" t="s">
        <v>3000</v>
      </c>
      <c r="C1490" s="171" t="s">
        <v>212</v>
      </c>
      <c r="D1490" s="171" t="s">
        <v>4</v>
      </c>
      <c r="E1490" s="11">
        <v>41426</v>
      </c>
      <c r="R1490" t="e">
        <v>#DIV/0!</v>
      </c>
    </row>
    <row r="1491" spans="1:20" x14ac:dyDescent="0.3">
      <c r="A1491" t="s">
        <v>3001</v>
      </c>
      <c r="B1491" s="171" t="s">
        <v>3002</v>
      </c>
      <c r="C1491" s="171" t="s">
        <v>215</v>
      </c>
      <c r="D1491" s="171" t="s">
        <v>4</v>
      </c>
      <c r="E1491" s="11">
        <v>41426</v>
      </c>
      <c r="R1491" t="e">
        <v>#DIV/0!</v>
      </c>
    </row>
    <row r="1492" spans="1:20" x14ac:dyDescent="0.3">
      <c r="A1492" t="s">
        <v>3003</v>
      </c>
      <c r="B1492" s="171" t="s">
        <v>3004</v>
      </c>
      <c r="C1492" s="171" t="s">
        <v>218</v>
      </c>
      <c r="D1492" s="171" t="s">
        <v>80</v>
      </c>
      <c r="E1492" s="11">
        <v>41426</v>
      </c>
      <c r="R1492" t="e">
        <v>#DIV/0!</v>
      </c>
    </row>
    <row r="1493" spans="1:20" x14ac:dyDescent="0.3">
      <c r="A1493" t="s">
        <v>3005</v>
      </c>
      <c r="B1493" s="171" t="s">
        <v>3006</v>
      </c>
      <c r="C1493" s="171" t="s">
        <v>221</v>
      </c>
      <c r="D1493" s="171" t="s">
        <v>4</v>
      </c>
      <c r="E1493" s="11">
        <v>41426</v>
      </c>
      <c r="F1493">
        <v>0</v>
      </c>
      <c r="G1493">
        <v>0</v>
      </c>
      <c r="I1493">
        <v>0</v>
      </c>
      <c r="L1493">
        <v>0</v>
      </c>
      <c r="N1493">
        <v>7</v>
      </c>
      <c r="S1493">
        <v>4</v>
      </c>
    </row>
    <row r="1494" spans="1:20" x14ac:dyDescent="0.3">
      <c r="A1494" t="s">
        <v>3007</v>
      </c>
      <c r="B1494" s="171" t="s">
        <v>3008</v>
      </c>
      <c r="C1494" s="171" t="s">
        <v>224</v>
      </c>
      <c r="D1494" s="171" t="s">
        <v>80</v>
      </c>
      <c r="E1494" s="11">
        <v>41426</v>
      </c>
    </row>
    <row r="1495" spans="1:20" x14ac:dyDescent="0.3">
      <c r="A1495" t="s">
        <v>3009</v>
      </c>
      <c r="B1495" s="171" t="s">
        <v>3010</v>
      </c>
      <c r="C1495" s="171" t="s">
        <v>227</v>
      </c>
      <c r="D1495" s="171" t="s">
        <v>80</v>
      </c>
      <c r="E1495" s="11">
        <v>41426</v>
      </c>
      <c r="N1495">
        <v>7</v>
      </c>
      <c r="P1495">
        <v>0</v>
      </c>
      <c r="Q1495">
        <v>0</v>
      </c>
      <c r="S1495">
        <v>4</v>
      </c>
      <c r="T1495">
        <v>0</v>
      </c>
    </row>
    <row r="1496" spans="1:20" x14ac:dyDescent="0.3">
      <c r="A1496" t="s">
        <v>3011</v>
      </c>
      <c r="B1496" s="171" t="s">
        <v>3012</v>
      </c>
      <c r="C1496" s="171" t="s">
        <v>230</v>
      </c>
      <c r="D1496" s="171" t="s">
        <v>80</v>
      </c>
      <c r="E1496" s="11">
        <v>41426</v>
      </c>
    </row>
    <row r="1497" spans="1:20" x14ac:dyDescent="0.3">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3019</v>
      </c>
      <c r="B1500" s="171" t="s">
        <v>3020</v>
      </c>
      <c r="C1500" s="171" t="s">
        <v>76</v>
      </c>
      <c r="D1500" s="171" t="s">
        <v>80</v>
      </c>
      <c r="E1500" s="11">
        <v>41426</v>
      </c>
      <c r="P1500">
        <v>2</v>
      </c>
      <c r="Q1500">
        <v>2</v>
      </c>
      <c r="R1500">
        <v>1</v>
      </c>
      <c r="T1500">
        <v>0.76400000000000001</v>
      </c>
    </row>
    <row r="1501" spans="1:20" x14ac:dyDescent="0.3">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x14ac:dyDescent="0.3">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3037</v>
      </c>
      <c r="B1509" s="171" t="s">
        <v>3038</v>
      </c>
      <c r="C1509" s="171" t="s">
        <v>113</v>
      </c>
      <c r="D1509" s="171" t="s">
        <v>4</v>
      </c>
      <c r="E1509" s="11">
        <v>41426</v>
      </c>
      <c r="L1509">
        <v>20</v>
      </c>
      <c r="M1509">
        <v>0</v>
      </c>
      <c r="R1509">
        <v>0</v>
      </c>
      <c r="T1509">
        <v>0</v>
      </c>
    </row>
    <row r="1510" spans="1:20" x14ac:dyDescent="0.3">
      <c r="A1510" t="s">
        <v>3039</v>
      </c>
      <c r="B1510" s="171" t="s">
        <v>3040</v>
      </c>
      <c r="C1510" s="171" t="s">
        <v>116</v>
      </c>
      <c r="D1510" s="171" t="s">
        <v>4</v>
      </c>
      <c r="E1510" s="11">
        <v>41426</v>
      </c>
      <c r="H1510" t="e">
        <v>#DIV/0!</v>
      </c>
      <c r="K1510" t="e">
        <v>#DIV/0!</v>
      </c>
      <c r="M1510" t="e">
        <v>#DIV/0!</v>
      </c>
      <c r="R1510" t="e">
        <v>#DIV/0!</v>
      </c>
      <c r="T1510">
        <v>0.49754273504273511</v>
      </c>
    </row>
    <row r="1511" spans="1:20" x14ac:dyDescent="0.3">
      <c r="A1511" t="s">
        <v>3041</v>
      </c>
      <c r="B1511" s="171" t="s">
        <v>3042</v>
      </c>
      <c r="C1511" s="171" t="s">
        <v>119</v>
      </c>
      <c r="D1511" s="171" t="s">
        <v>4</v>
      </c>
      <c r="E1511" s="11">
        <v>41426</v>
      </c>
      <c r="R1511" t="e">
        <v>#DIV/0!</v>
      </c>
      <c r="T1511">
        <v>0</v>
      </c>
    </row>
    <row r="1512" spans="1:20" x14ac:dyDescent="0.3">
      <c r="A1512" t="s">
        <v>3043</v>
      </c>
      <c r="B1512" s="171" t="s">
        <v>3044</v>
      </c>
      <c r="C1512" s="171" t="s">
        <v>122</v>
      </c>
      <c r="D1512" s="171" t="s">
        <v>80</v>
      </c>
      <c r="E1512" s="11">
        <v>41426</v>
      </c>
      <c r="R1512" t="e">
        <v>#DIV/0!</v>
      </c>
      <c r="T1512">
        <v>0.81339401709401715</v>
      </c>
    </row>
    <row r="1513" spans="1:20" x14ac:dyDescent="0.3">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3049</v>
      </c>
      <c r="B1515" s="171" t="s">
        <v>3050</v>
      </c>
      <c r="C1515" s="171" t="s">
        <v>131</v>
      </c>
      <c r="D1515" s="171" t="s">
        <v>4</v>
      </c>
      <c r="E1515" s="11">
        <v>41426</v>
      </c>
      <c r="L1515">
        <v>27.5</v>
      </c>
      <c r="M1515">
        <v>0</v>
      </c>
      <c r="T1515">
        <v>0.44444444444444442</v>
      </c>
    </row>
    <row r="1516" spans="1:20" x14ac:dyDescent="0.3">
      <c r="A1516" t="s">
        <v>3051</v>
      </c>
      <c r="B1516" s="171" t="s">
        <v>3052</v>
      </c>
      <c r="C1516" s="171" t="s">
        <v>134</v>
      </c>
      <c r="D1516" s="171" t="s">
        <v>4</v>
      </c>
      <c r="E1516" s="11">
        <v>41426</v>
      </c>
      <c r="H1516" t="e">
        <v>#DIV/0!</v>
      </c>
      <c r="K1516" t="e">
        <v>#DIV/0!</v>
      </c>
      <c r="M1516" t="e">
        <v>#DIV/0!</v>
      </c>
      <c r="R1516" t="e">
        <v>#DIV/0!</v>
      </c>
    </row>
    <row r="1517" spans="1:20" x14ac:dyDescent="0.3">
      <c r="A1517" t="s">
        <v>3053</v>
      </c>
      <c r="B1517" s="171" t="s">
        <v>3054</v>
      </c>
      <c r="C1517" s="171" t="s">
        <v>137</v>
      </c>
      <c r="D1517" s="171" t="s">
        <v>80</v>
      </c>
      <c r="E1517" s="11">
        <v>41426</v>
      </c>
      <c r="R1517" t="e">
        <v>#DIV/0!</v>
      </c>
    </row>
    <row r="1518" spans="1:20" x14ac:dyDescent="0.3">
      <c r="A1518" t="s">
        <v>3055</v>
      </c>
      <c r="B1518" s="171" t="s">
        <v>3056</v>
      </c>
      <c r="C1518" s="171" t="s">
        <v>140</v>
      </c>
      <c r="D1518" s="171" t="s">
        <v>4</v>
      </c>
      <c r="E1518" s="11">
        <v>41426</v>
      </c>
      <c r="R1518" t="e">
        <v>#DIV/0!</v>
      </c>
    </row>
    <row r="1519" spans="1:20" x14ac:dyDescent="0.3">
      <c r="A1519" t="s">
        <v>3057</v>
      </c>
      <c r="B1519" s="171" t="s">
        <v>3058</v>
      </c>
      <c r="C1519" s="171" t="s">
        <v>167</v>
      </c>
      <c r="D1519" s="171" t="s">
        <v>80</v>
      </c>
      <c r="E1519" s="11">
        <v>41426</v>
      </c>
      <c r="R1519" t="e">
        <v>#DIV/0!</v>
      </c>
      <c r="T1519">
        <v>0.75868055555555547</v>
      </c>
    </row>
    <row r="1520" spans="1:20" x14ac:dyDescent="0.3">
      <c r="A1520" t="s">
        <v>3059</v>
      </c>
      <c r="B1520" s="171" t="s">
        <v>3060</v>
      </c>
      <c r="C1520" s="171" t="s">
        <v>170</v>
      </c>
      <c r="D1520" s="171" t="s">
        <v>4</v>
      </c>
      <c r="E1520" s="11">
        <v>41426</v>
      </c>
      <c r="R1520" t="e">
        <v>#DIV/0!</v>
      </c>
      <c r="T1520">
        <v>1</v>
      </c>
    </row>
    <row r="1521" spans="1:20" x14ac:dyDescent="0.3">
      <c r="A1521" t="s">
        <v>3061</v>
      </c>
      <c r="B1521" s="171" t="s">
        <v>3062</v>
      </c>
      <c r="C1521" s="171" t="s">
        <v>179</v>
      </c>
      <c r="D1521" s="171" t="s">
        <v>80</v>
      </c>
      <c r="E1521" s="11">
        <v>41426</v>
      </c>
      <c r="R1521" t="e">
        <v>#DIV/0!</v>
      </c>
      <c r="T1521">
        <v>0.8125</v>
      </c>
    </row>
    <row r="1522" spans="1:20" x14ac:dyDescent="0.3">
      <c r="A1522" t="s">
        <v>3063</v>
      </c>
      <c r="B1522" s="171" t="s">
        <v>3064</v>
      </c>
      <c r="C1522" s="171" t="s">
        <v>182</v>
      </c>
      <c r="D1522" s="171" t="s">
        <v>4</v>
      </c>
      <c r="E1522" s="11">
        <v>41426</v>
      </c>
      <c r="R1522" t="e">
        <v>#DIV/0!</v>
      </c>
    </row>
    <row r="1523" spans="1:20" x14ac:dyDescent="0.3">
      <c r="A1523" t="s">
        <v>3065</v>
      </c>
      <c r="B1523" s="171" t="s">
        <v>3066</v>
      </c>
      <c r="C1523" s="171" t="s">
        <v>185</v>
      </c>
      <c r="D1523" s="171" t="s">
        <v>80</v>
      </c>
      <c r="E1523" s="11">
        <v>41426</v>
      </c>
    </row>
    <row r="1524" spans="1:20" x14ac:dyDescent="0.3">
      <c r="A1524" t="s">
        <v>3067</v>
      </c>
      <c r="B1524" s="171" t="s">
        <v>3068</v>
      </c>
      <c r="C1524" s="171" t="s">
        <v>188</v>
      </c>
      <c r="D1524" s="171" t="s">
        <v>4</v>
      </c>
      <c r="E1524" s="11">
        <v>41426</v>
      </c>
    </row>
    <row r="1525" spans="1:20" x14ac:dyDescent="0.3">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3073</v>
      </c>
      <c r="B1527" s="171" t="s">
        <v>3074</v>
      </c>
      <c r="C1527" s="171" t="s">
        <v>197</v>
      </c>
      <c r="D1527" s="171" t="s">
        <v>4</v>
      </c>
      <c r="E1527" s="11">
        <v>41426</v>
      </c>
      <c r="H1527" t="e">
        <v>#DIV/0!</v>
      </c>
      <c r="K1527" t="e">
        <v>#DIV/0!</v>
      </c>
      <c r="M1527" t="e">
        <v>#DIV/0!</v>
      </c>
      <c r="R1527" t="e">
        <v>#DIV/0!</v>
      </c>
    </row>
    <row r="1528" spans="1:20" x14ac:dyDescent="0.3">
      <c r="A1528" t="s">
        <v>3075</v>
      </c>
      <c r="B1528" s="171" t="s">
        <v>3076</v>
      </c>
      <c r="C1528" s="171" t="s">
        <v>209</v>
      </c>
      <c r="D1528" s="171" t="s">
        <v>4</v>
      </c>
      <c r="E1528" s="11">
        <v>41426</v>
      </c>
      <c r="R1528" t="e">
        <v>#DIV/0!</v>
      </c>
      <c r="T1528">
        <v>1.05</v>
      </c>
    </row>
    <row r="1529" spans="1:20" x14ac:dyDescent="0.3">
      <c r="A1529" t="s">
        <v>3077</v>
      </c>
      <c r="B1529" s="171" t="s">
        <v>3078</v>
      </c>
      <c r="C1529" s="171" t="s">
        <v>212</v>
      </c>
      <c r="D1529" s="171" t="s">
        <v>80</v>
      </c>
      <c r="E1529" s="11">
        <v>41426</v>
      </c>
      <c r="R1529" t="e">
        <v>#DIV/0!</v>
      </c>
      <c r="T1529">
        <v>1</v>
      </c>
    </row>
    <row r="1530" spans="1:20" x14ac:dyDescent="0.3">
      <c r="A1530" t="s">
        <v>3079</v>
      </c>
      <c r="B1530" s="171" t="s">
        <v>3080</v>
      </c>
      <c r="C1530" s="171" t="s">
        <v>215</v>
      </c>
      <c r="D1530" s="171" t="s">
        <v>80</v>
      </c>
      <c r="E1530" s="11">
        <v>41426</v>
      </c>
      <c r="R1530" t="e">
        <v>#DIV/0!</v>
      </c>
    </row>
    <row r="1531" spans="1:20" x14ac:dyDescent="0.3">
      <c r="A1531" t="s">
        <v>3081</v>
      </c>
      <c r="B1531" s="171" t="s">
        <v>3082</v>
      </c>
      <c r="C1531" s="171" t="s">
        <v>218</v>
      </c>
      <c r="D1531" s="171" t="s">
        <v>4</v>
      </c>
      <c r="E1531" s="11">
        <v>41426</v>
      </c>
      <c r="R1531" t="e">
        <v>#DIV/0!</v>
      </c>
    </row>
    <row r="1532" spans="1:20" x14ac:dyDescent="0.3">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3089</v>
      </c>
      <c r="B1535" s="171" t="s">
        <v>3090</v>
      </c>
      <c r="C1535" s="171" t="s">
        <v>143</v>
      </c>
      <c r="D1535" s="171" t="s">
        <v>4</v>
      </c>
      <c r="E1535" s="11">
        <v>41426</v>
      </c>
      <c r="H1535" t="e">
        <v>#DIV/0!</v>
      </c>
      <c r="K1535" t="e">
        <v>#DIV/0!</v>
      </c>
      <c r="M1535" t="e">
        <v>#DIV/0!</v>
      </c>
      <c r="N1535">
        <v>0</v>
      </c>
      <c r="R1535" t="e">
        <v>#DIV/0!</v>
      </c>
    </row>
    <row r="1536" spans="1:20" x14ac:dyDescent="0.3">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3093</v>
      </c>
      <c r="B1537" s="171" t="s">
        <v>3094</v>
      </c>
      <c r="C1537" s="171" t="s">
        <v>149</v>
      </c>
      <c r="D1537" s="171" t="s">
        <v>4</v>
      </c>
      <c r="E1537" s="11">
        <v>41426</v>
      </c>
    </row>
    <row r="1538" spans="1:20" x14ac:dyDescent="0.3">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x14ac:dyDescent="0.3">
      <c r="A1540" t="s">
        <v>3099</v>
      </c>
      <c r="B1540" s="171" t="s">
        <v>3100</v>
      </c>
      <c r="C1540" s="171" t="s">
        <v>158</v>
      </c>
      <c r="D1540" s="171" t="s">
        <v>4</v>
      </c>
      <c r="E1540" s="11">
        <v>41426</v>
      </c>
      <c r="P1540">
        <v>0</v>
      </c>
      <c r="Q1540">
        <v>0</v>
      </c>
      <c r="T1540">
        <v>0.23076923076923078</v>
      </c>
    </row>
    <row r="1541" spans="1:20" x14ac:dyDescent="0.3">
      <c r="A1541" t="s">
        <v>3101</v>
      </c>
      <c r="B1541" s="171" t="s">
        <v>3102</v>
      </c>
      <c r="C1541" s="171" t="s">
        <v>164</v>
      </c>
      <c r="D1541" s="171" t="s">
        <v>4</v>
      </c>
      <c r="E1541" s="11">
        <v>41426</v>
      </c>
      <c r="P1541">
        <v>0</v>
      </c>
      <c r="Q1541">
        <v>0</v>
      </c>
      <c r="T1541">
        <v>1.4666666666666668</v>
      </c>
    </row>
    <row r="1542" spans="1:20" x14ac:dyDescent="0.3">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3105</v>
      </c>
      <c r="B1543" s="171" t="s">
        <v>3106</v>
      </c>
      <c r="C1543" s="171" t="s">
        <v>221</v>
      </c>
      <c r="D1543" s="171" t="s">
        <v>80</v>
      </c>
      <c r="E1543" s="11">
        <v>41426</v>
      </c>
      <c r="F1543">
        <v>0</v>
      </c>
      <c r="G1543">
        <v>0</v>
      </c>
      <c r="I1543">
        <v>0</v>
      </c>
      <c r="L1543">
        <v>0</v>
      </c>
      <c r="N1543">
        <v>7</v>
      </c>
      <c r="S1543">
        <v>4</v>
      </c>
    </row>
    <row r="1544" spans="1:20" x14ac:dyDescent="0.3">
      <c r="A1544" t="s">
        <v>3107</v>
      </c>
      <c r="B1544" s="171" t="s">
        <v>3108</v>
      </c>
      <c r="C1544" s="171" t="s">
        <v>224</v>
      </c>
      <c r="D1544" s="171" t="s">
        <v>4</v>
      </c>
      <c r="E1544" s="11">
        <v>41426</v>
      </c>
      <c r="T1544">
        <v>0.54545454545454541</v>
      </c>
    </row>
    <row r="1545" spans="1:20" x14ac:dyDescent="0.3">
      <c r="A1545" t="s">
        <v>3109</v>
      </c>
      <c r="B1545" s="171" t="s">
        <v>3110</v>
      </c>
      <c r="C1545" s="171" t="s">
        <v>227</v>
      </c>
      <c r="D1545" s="171" t="s">
        <v>4</v>
      </c>
      <c r="E1545" s="11">
        <v>41426</v>
      </c>
      <c r="N1545">
        <v>7</v>
      </c>
      <c r="P1545">
        <v>0</v>
      </c>
      <c r="Q1545">
        <v>0</v>
      </c>
      <c r="S1545">
        <v>4</v>
      </c>
      <c r="T1545">
        <v>1</v>
      </c>
    </row>
    <row r="1546" spans="1:20" x14ac:dyDescent="0.3">
      <c r="A1546" t="s">
        <v>3111</v>
      </c>
      <c r="B1546" s="171" t="s">
        <v>3112</v>
      </c>
      <c r="C1546" s="171" t="s">
        <v>230</v>
      </c>
      <c r="D1546" s="171" t="s">
        <v>4</v>
      </c>
      <c r="E1546" s="11">
        <v>41426</v>
      </c>
    </row>
    <row r="1547" spans="1:20" x14ac:dyDescent="0.3">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x14ac:dyDescent="0.3">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x14ac:dyDescent="0.3">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x14ac:dyDescent="0.3">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x14ac:dyDescent="0.3">
      <c r="A1561" t="s">
        <v>3141</v>
      </c>
      <c r="B1561" s="171" t="s">
        <v>3142</v>
      </c>
      <c r="C1561" s="171" t="s">
        <v>116</v>
      </c>
      <c r="D1561" s="171" t="s">
        <v>80</v>
      </c>
      <c r="E1561" s="11">
        <v>41456</v>
      </c>
      <c r="H1561" t="e">
        <v>#DIV/0!</v>
      </c>
      <c r="K1561" t="e">
        <v>#DIV/0!</v>
      </c>
      <c r="M1561" t="e">
        <v>#DIV/0!</v>
      </c>
      <c r="R1561" t="e">
        <v>#DIV/0!</v>
      </c>
      <c r="T1561">
        <v>1</v>
      </c>
    </row>
    <row r="1562" spans="1:20" x14ac:dyDescent="0.3">
      <c r="A1562" t="s">
        <v>3143</v>
      </c>
      <c r="B1562" s="171" t="s">
        <v>3144</v>
      </c>
      <c r="C1562" s="171" t="s">
        <v>119</v>
      </c>
      <c r="D1562" s="171" t="s">
        <v>80</v>
      </c>
      <c r="E1562" s="11">
        <v>41456</v>
      </c>
      <c r="H1562" t="e">
        <v>#DIV/0!</v>
      </c>
      <c r="K1562" t="e">
        <v>#DIV/0!</v>
      </c>
      <c r="M1562" t="e">
        <v>#DIV/0!</v>
      </c>
      <c r="R1562" t="e">
        <v>#DIV/0!</v>
      </c>
      <c r="T1562">
        <v>1.1166666666666667</v>
      </c>
    </row>
    <row r="1563" spans="1:20" x14ac:dyDescent="0.3">
      <c r="A1563" t="s">
        <v>3145</v>
      </c>
      <c r="B1563" s="171" t="s">
        <v>3146</v>
      </c>
      <c r="C1563" s="171" t="s">
        <v>122</v>
      </c>
      <c r="D1563" s="171" t="s">
        <v>4</v>
      </c>
      <c r="E1563" s="11">
        <v>41456</v>
      </c>
      <c r="H1563" t="e">
        <v>#DIV/0!</v>
      </c>
      <c r="K1563" t="e">
        <v>#DIV/0!</v>
      </c>
      <c r="M1563" t="e">
        <v>#DIV/0!</v>
      </c>
      <c r="R1563" t="e">
        <v>#DIV/0!</v>
      </c>
      <c r="T1563">
        <v>0.8216</v>
      </c>
    </row>
    <row r="1564" spans="1:20" x14ac:dyDescent="0.3">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3153</v>
      </c>
      <c r="B1567" s="171" t="s">
        <v>3154</v>
      </c>
      <c r="C1567" s="171" t="s">
        <v>134</v>
      </c>
      <c r="D1567" s="171" t="s">
        <v>80</v>
      </c>
      <c r="E1567" s="11">
        <v>41456</v>
      </c>
      <c r="H1567" t="e">
        <v>#DIV/0!</v>
      </c>
      <c r="K1567" t="e">
        <v>#DIV/0!</v>
      </c>
      <c r="M1567" t="e">
        <v>#DIV/0!</v>
      </c>
      <c r="R1567" t="e">
        <v>#DIV/0!</v>
      </c>
      <c r="T1567">
        <v>0</v>
      </c>
    </row>
    <row r="1568" spans="1:20" x14ac:dyDescent="0.3">
      <c r="A1568" t="s">
        <v>3155</v>
      </c>
      <c r="B1568" s="171" t="s">
        <v>3156</v>
      </c>
      <c r="C1568" s="171" t="s">
        <v>137</v>
      </c>
      <c r="D1568" s="171" t="s">
        <v>4</v>
      </c>
      <c r="E1568" s="11">
        <v>41456</v>
      </c>
      <c r="H1568" t="e">
        <v>#DIV/0!</v>
      </c>
      <c r="K1568" t="e">
        <v>#DIV/0!</v>
      </c>
      <c r="M1568" t="e">
        <v>#DIV/0!</v>
      </c>
      <c r="R1568" t="e">
        <v>#DIV/0!</v>
      </c>
      <c r="T1568">
        <v>0.80700115942028994</v>
      </c>
    </row>
    <row r="1569" spans="1:20" x14ac:dyDescent="0.3">
      <c r="A1569" t="s">
        <v>3157</v>
      </c>
      <c r="B1569" s="171" t="s">
        <v>3158</v>
      </c>
      <c r="C1569" s="171" t="s">
        <v>140</v>
      </c>
      <c r="D1569" s="171" t="s">
        <v>80</v>
      </c>
      <c r="E1569" s="11">
        <v>41456</v>
      </c>
      <c r="H1569" t="e">
        <v>#DIV/0!</v>
      </c>
      <c r="K1569" t="e">
        <v>#DIV/0!</v>
      </c>
      <c r="M1569" t="e">
        <v>#DIV/0!</v>
      </c>
      <c r="R1569" t="e">
        <v>#DIV/0!</v>
      </c>
      <c r="T1569">
        <v>0.4</v>
      </c>
    </row>
    <row r="1570" spans="1:20" x14ac:dyDescent="0.3">
      <c r="A1570" t="s">
        <v>3159</v>
      </c>
      <c r="B1570" s="171" t="s">
        <v>3160</v>
      </c>
      <c r="C1570" s="171" t="s">
        <v>143</v>
      </c>
      <c r="D1570" s="171" t="s">
        <v>80</v>
      </c>
      <c r="E1570" s="11">
        <v>41456</v>
      </c>
      <c r="H1570" t="e">
        <v>#DIV/0!</v>
      </c>
      <c r="K1570" t="e">
        <v>#DIV/0!</v>
      </c>
      <c r="M1570" t="e">
        <v>#DIV/0!</v>
      </c>
      <c r="N1570">
        <v>0</v>
      </c>
      <c r="R1570" t="e">
        <v>#DIV/0!</v>
      </c>
    </row>
    <row r="1571" spans="1:20" x14ac:dyDescent="0.3">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x14ac:dyDescent="0.3">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x14ac:dyDescent="0.3">
      <c r="A1575" t="s">
        <v>3169</v>
      </c>
      <c r="B1575" s="171" t="s">
        <v>3170</v>
      </c>
      <c r="C1575" s="171" t="s">
        <v>158</v>
      </c>
      <c r="D1575" s="171" t="s">
        <v>80</v>
      </c>
      <c r="E1575" s="11">
        <v>41456</v>
      </c>
      <c r="H1575" t="e">
        <v>#DIV/0!</v>
      </c>
      <c r="K1575" t="e">
        <v>#DIV/0!</v>
      </c>
      <c r="M1575" t="e">
        <v>#DIV/0!</v>
      </c>
      <c r="P1575">
        <v>0</v>
      </c>
      <c r="Q1575">
        <v>0</v>
      </c>
      <c r="T1575">
        <v>0.83333333333333337</v>
      </c>
    </row>
    <row r="1576" spans="1:20" x14ac:dyDescent="0.3">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x14ac:dyDescent="0.3">
      <c r="A1578" t="s">
        <v>3175</v>
      </c>
      <c r="B1578" s="171" t="s">
        <v>3176</v>
      </c>
      <c r="C1578" s="171" t="s">
        <v>167</v>
      </c>
      <c r="D1578" s="171" t="s">
        <v>4</v>
      </c>
      <c r="E1578" s="11">
        <v>41456</v>
      </c>
      <c r="H1578" t="e">
        <v>#DIV/0!</v>
      </c>
      <c r="K1578" t="e">
        <v>#DIV/0!</v>
      </c>
      <c r="M1578" t="e">
        <v>#DIV/0!</v>
      </c>
      <c r="R1578" t="e">
        <v>#DIV/0!</v>
      </c>
    </row>
    <row r="1579" spans="1:20" x14ac:dyDescent="0.3">
      <c r="A1579" t="s">
        <v>3177</v>
      </c>
      <c r="B1579" s="171" t="s">
        <v>3178</v>
      </c>
      <c r="C1579" s="171" t="s">
        <v>170</v>
      </c>
      <c r="D1579" s="171" t="s">
        <v>80</v>
      </c>
      <c r="E1579" s="11">
        <v>41456</v>
      </c>
      <c r="H1579" t="e">
        <v>#DIV/0!</v>
      </c>
      <c r="K1579" t="e">
        <v>#DIV/0!</v>
      </c>
      <c r="M1579" t="e">
        <v>#DIV/0!</v>
      </c>
      <c r="R1579" t="e">
        <v>#DIV/0!</v>
      </c>
    </row>
    <row r="1580" spans="1:20" x14ac:dyDescent="0.3">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x14ac:dyDescent="0.3">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x14ac:dyDescent="0.3">
      <c r="A1582" t="s">
        <v>3183</v>
      </c>
      <c r="B1582" s="171" t="s">
        <v>3184</v>
      </c>
      <c r="C1582" s="171" t="s">
        <v>179</v>
      </c>
      <c r="D1582" s="171" t="s">
        <v>4</v>
      </c>
      <c r="E1582" s="11">
        <v>41456</v>
      </c>
      <c r="H1582" t="e">
        <v>#DIV/0!</v>
      </c>
      <c r="K1582" t="e">
        <v>#DIV/0!</v>
      </c>
      <c r="M1582" t="e">
        <v>#DIV/0!</v>
      </c>
      <c r="R1582" t="e">
        <v>#DIV/0!</v>
      </c>
      <c r="T1582">
        <v>1.2625</v>
      </c>
    </row>
    <row r="1583" spans="1:20" x14ac:dyDescent="0.3">
      <c r="A1583" t="s">
        <v>3185</v>
      </c>
      <c r="B1583" s="171" t="s">
        <v>3186</v>
      </c>
      <c r="C1583" s="171" t="s">
        <v>182</v>
      </c>
      <c r="D1583" s="171" t="s">
        <v>80</v>
      </c>
      <c r="E1583" s="11">
        <v>41456</v>
      </c>
      <c r="H1583" t="e">
        <v>#DIV/0!</v>
      </c>
      <c r="K1583" t="e">
        <v>#DIV/0!</v>
      </c>
      <c r="M1583" t="e">
        <v>#DIV/0!</v>
      </c>
      <c r="R1583" t="e">
        <v>#DIV/0!</v>
      </c>
    </row>
    <row r="1584" spans="1:20" x14ac:dyDescent="0.3">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3195</v>
      </c>
      <c r="B1588" s="171" t="s">
        <v>3196</v>
      </c>
      <c r="C1588" s="171" t="s">
        <v>197</v>
      </c>
      <c r="D1588" s="171" t="s">
        <v>80</v>
      </c>
      <c r="E1588" s="11">
        <v>41456</v>
      </c>
      <c r="H1588" t="e">
        <v>#DIV/0!</v>
      </c>
      <c r="K1588" t="e">
        <v>#DIV/0!</v>
      </c>
      <c r="M1588" t="e">
        <v>#DIV/0!</v>
      </c>
      <c r="R1588" t="e">
        <v>#DIV/0!</v>
      </c>
    </row>
    <row r="1589" spans="1:20" x14ac:dyDescent="0.3">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x14ac:dyDescent="0.3">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x14ac:dyDescent="0.3">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x14ac:dyDescent="0.3">
      <c r="A1592" t="s">
        <v>3203</v>
      </c>
      <c r="B1592" s="171" t="s">
        <v>3204</v>
      </c>
      <c r="C1592" s="171" t="s">
        <v>209</v>
      </c>
      <c r="D1592" s="171" t="s">
        <v>80</v>
      </c>
      <c r="E1592" s="11">
        <v>41456</v>
      </c>
      <c r="H1592" t="e">
        <v>#DIV/0!</v>
      </c>
      <c r="K1592" t="e">
        <v>#DIV/0!</v>
      </c>
      <c r="M1592" t="e">
        <v>#DIV/0!</v>
      </c>
      <c r="R1592" t="e">
        <v>#DIV/0!</v>
      </c>
    </row>
    <row r="1593" spans="1:20" x14ac:dyDescent="0.3">
      <c r="A1593" t="s">
        <v>3205</v>
      </c>
      <c r="B1593" s="171" t="s">
        <v>3206</v>
      </c>
      <c r="C1593" s="171" t="s">
        <v>212</v>
      </c>
      <c r="D1593" s="171" t="s">
        <v>4</v>
      </c>
      <c r="E1593" s="11">
        <v>41456</v>
      </c>
      <c r="H1593" t="e">
        <v>#DIV/0!</v>
      </c>
      <c r="K1593" t="e">
        <v>#DIV/0!</v>
      </c>
      <c r="M1593" t="e">
        <v>#DIV/0!</v>
      </c>
      <c r="R1593" t="e">
        <v>#DIV/0!</v>
      </c>
    </row>
    <row r="1594" spans="1:20" x14ac:dyDescent="0.3">
      <c r="A1594" t="s">
        <v>3207</v>
      </c>
      <c r="B1594" s="171" t="s">
        <v>3208</v>
      </c>
      <c r="C1594" s="171" t="s">
        <v>215</v>
      </c>
      <c r="D1594" s="171" t="s">
        <v>4</v>
      </c>
      <c r="E1594" s="11">
        <v>41456</v>
      </c>
      <c r="H1594" t="e">
        <v>#DIV/0!</v>
      </c>
      <c r="K1594" t="e">
        <v>#DIV/0!</v>
      </c>
      <c r="M1594" t="e">
        <v>#DIV/0!</v>
      </c>
      <c r="R1594" t="e">
        <v>#DIV/0!</v>
      </c>
    </row>
    <row r="1595" spans="1:20" x14ac:dyDescent="0.3">
      <c r="A1595" t="s">
        <v>3209</v>
      </c>
      <c r="B1595" s="171" t="s">
        <v>3210</v>
      </c>
      <c r="C1595" s="171" t="s">
        <v>218</v>
      </c>
      <c r="D1595" s="171" t="s">
        <v>80</v>
      </c>
      <c r="E1595" s="11">
        <v>41456</v>
      </c>
      <c r="H1595" t="e">
        <v>#DIV/0!</v>
      </c>
      <c r="K1595" t="e">
        <v>#DIV/0!</v>
      </c>
      <c r="M1595" t="e">
        <v>#DIV/0!</v>
      </c>
      <c r="R1595" t="e">
        <v>#DIV/0!</v>
      </c>
      <c r="T1595">
        <v>0.60869565217391308</v>
      </c>
    </row>
    <row r="1596" spans="1:20" x14ac:dyDescent="0.3">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x14ac:dyDescent="0.3">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3217</v>
      </c>
      <c r="B1599" s="171" t="s">
        <v>3218</v>
      </c>
      <c r="C1599" s="171" t="s">
        <v>230</v>
      </c>
      <c r="D1599" s="171" t="s">
        <v>80</v>
      </c>
      <c r="E1599" s="11">
        <v>41456</v>
      </c>
      <c r="H1599" t="e">
        <v>#DIV/0!</v>
      </c>
      <c r="M1599" t="e">
        <v>#DIV/0!</v>
      </c>
    </row>
    <row r="1600" spans="1:20" x14ac:dyDescent="0.3">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x14ac:dyDescent="0.3">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x14ac:dyDescent="0.3">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x14ac:dyDescent="0.3">
      <c r="A1613" t="s">
        <v>3245</v>
      </c>
      <c r="B1613" s="171" t="s">
        <v>3246</v>
      </c>
      <c r="C1613" s="171" t="s">
        <v>116</v>
      </c>
      <c r="D1613" s="171" t="s">
        <v>4</v>
      </c>
      <c r="E1613" s="11">
        <v>41456</v>
      </c>
      <c r="H1613" t="e">
        <v>#DIV/0!</v>
      </c>
      <c r="K1613" t="e">
        <v>#DIV/0!</v>
      </c>
      <c r="M1613" t="e">
        <v>#DIV/0!</v>
      </c>
      <c r="R1613" t="e">
        <v>#DIV/0!</v>
      </c>
      <c r="T1613">
        <v>0.56999999999999995</v>
      </c>
    </row>
    <row r="1614" spans="1:20" x14ac:dyDescent="0.3">
      <c r="A1614" t="s">
        <v>3247</v>
      </c>
      <c r="B1614" s="171" t="s">
        <v>3248</v>
      </c>
      <c r="C1614" s="171" t="s">
        <v>119</v>
      </c>
      <c r="D1614" s="171" t="s">
        <v>4</v>
      </c>
      <c r="E1614" s="11">
        <v>41456</v>
      </c>
      <c r="H1614" t="e">
        <v>#DIV/0!</v>
      </c>
      <c r="K1614" t="e">
        <v>#DIV/0!</v>
      </c>
      <c r="M1614" t="e">
        <v>#DIV/0!</v>
      </c>
      <c r="R1614" t="e">
        <v>#DIV/0!</v>
      </c>
      <c r="T1614">
        <v>1</v>
      </c>
    </row>
    <row r="1615" spans="1:20" x14ac:dyDescent="0.3">
      <c r="A1615" t="s">
        <v>3249</v>
      </c>
      <c r="B1615" s="171" t="s">
        <v>3250</v>
      </c>
      <c r="C1615" s="171" t="s">
        <v>122</v>
      </c>
      <c r="D1615" s="171" t="s">
        <v>80</v>
      </c>
      <c r="E1615" s="11">
        <v>41456</v>
      </c>
      <c r="H1615" t="e">
        <v>#DIV/0!</v>
      </c>
      <c r="K1615" t="e">
        <v>#DIV/0!</v>
      </c>
      <c r="M1615" t="e">
        <v>#DIV/0!</v>
      </c>
      <c r="R1615" t="e">
        <v>#DIV/0!</v>
      </c>
      <c r="T1615">
        <v>1</v>
      </c>
    </row>
    <row r="1616" spans="1:20" x14ac:dyDescent="0.3">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3257</v>
      </c>
      <c r="B1619" s="171" t="s">
        <v>3258</v>
      </c>
      <c r="C1619" s="171" t="s">
        <v>134</v>
      </c>
      <c r="D1619" s="171" t="s">
        <v>4</v>
      </c>
      <c r="E1619" s="11">
        <v>41456</v>
      </c>
      <c r="H1619" t="e">
        <v>#DIV/0!</v>
      </c>
      <c r="K1619" t="e">
        <v>#DIV/0!</v>
      </c>
      <c r="M1619" t="e">
        <v>#DIV/0!</v>
      </c>
      <c r="R1619" t="e">
        <v>#DIV/0!</v>
      </c>
      <c r="T1619">
        <v>0.84860000000000002</v>
      </c>
    </row>
    <row r="1620" spans="1:20" x14ac:dyDescent="0.3">
      <c r="A1620" t="s">
        <v>3259</v>
      </c>
      <c r="B1620" s="171" t="s">
        <v>3260</v>
      </c>
      <c r="C1620" s="171" t="s">
        <v>137</v>
      </c>
      <c r="D1620" s="171" t="s">
        <v>80</v>
      </c>
      <c r="E1620" s="11">
        <v>41456</v>
      </c>
      <c r="H1620" t="e">
        <v>#DIV/0!</v>
      </c>
      <c r="K1620" t="e">
        <v>#DIV/0!</v>
      </c>
      <c r="M1620" t="e">
        <v>#DIV/0!</v>
      </c>
      <c r="R1620" t="e">
        <v>#DIV/0!</v>
      </c>
      <c r="T1620">
        <v>0.61399999999999999</v>
      </c>
    </row>
    <row r="1621" spans="1:20" x14ac:dyDescent="0.3">
      <c r="A1621" t="s">
        <v>3261</v>
      </c>
      <c r="B1621" s="171" t="s">
        <v>3262</v>
      </c>
      <c r="C1621" s="171" t="s">
        <v>140</v>
      </c>
      <c r="D1621" s="171" t="s">
        <v>4</v>
      </c>
      <c r="E1621" s="11">
        <v>41456</v>
      </c>
      <c r="H1621" t="e">
        <v>#DIV/0!</v>
      </c>
      <c r="K1621" t="e">
        <v>#DIV/0!</v>
      </c>
      <c r="M1621" t="e">
        <v>#DIV/0!</v>
      </c>
      <c r="R1621" t="e">
        <v>#DIV/0!</v>
      </c>
      <c r="T1621">
        <v>0</v>
      </c>
    </row>
    <row r="1622" spans="1:20" x14ac:dyDescent="0.3">
      <c r="A1622" t="s">
        <v>3263</v>
      </c>
      <c r="B1622" s="171" t="s">
        <v>3264</v>
      </c>
      <c r="C1622" s="171" t="s">
        <v>167</v>
      </c>
      <c r="D1622" s="171" t="s">
        <v>80</v>
      </c>
      <c r="E1622" s="11">
        <v>41456</v>
      </c>
      <c r="H1622" t="e">
        <v>#DIV/0!</v>
      </c>
      <c r="K1622" t="e">
        <v>#DIV/0!</v>
      </c>
      <c r="M1622" t="e">
        <v>#DIV/0!</v>
      </c>
      <c r="R1622" t="e">
        <v>#DIV/0!</v>
      </c>
      <c r="T1622">
        <v>0.7492063492063491</v>
      </c>
    </row>
    <row r="1623" spans="1:20" x14ac:dyDescent="0.3">
      <c r="A1623" t="s">
        <v>3265</v>
      </c>
      <c r="B1623" s="171" t="s">
        <v>3266</v>
      </c>
      <c r="C1623" s="171" t="s">
        <v>170</v>
      </c>
      <c r="D1623" s="171" t="s">
        <v>4</v>
      </c>
      <c r="E1623" s="11">
        <v>41456</v>
      </c>
      <c r="H1623" t="e">
        <v>#DIV/0!</v>
      </c>
      <c r="K1623" t="e">
        <v>#DIV/0!</v>
      </c>
      <c r="M1623" t="e">
        <v>#DIV/0!</v>
      </c>
      <c r="R1623" t="e">
        <v>#DIV/0!</v>
      </c>
      <c r="T1623">
        <v>0</v>
      </c>
    </row>
    <row r="1624" spans="1:20" x14ac:dyDescent="0.3">
      <c r="A1624" t="s">
        <v>3267</v>
      </c>
      <c r="B1624" s="171" t="s">
        <v>3268</v>
      </c>
      <c r="C1624" s="171" t="s">
        <v>179</v>
      </c>
      <c r="D1624" s="171" t="s">
        <v>80</v>
      </c>
      <c r="E1624" s="11">
        <v>41456</v>
      </c>
      <c r="H1624" t="e">
        <v>#DIV/0!</v>
      </c>
      <c r="K1624" t="e">
        <v>#DIV/0!</v>
      </c>
      <c r="M1624" t="e">
        <v>#DIV/0!</v>
      </c>
      <c r="R1624" t="e">
        <v>#DIV/0!</v>
      </c>
      <c r="T1624">
        <v>0.87736126984126983</v>
      </c>
    </row>
    <row r="1625" spans="1:20" x14ac:dyDescent="0.3">
      <c r="A1625" t="s">
        <v>3269</v>
      </c>
      <c r="B1625" s="171" t="s">
        <v>3270</v>
      </c>
      <c r="C1625" s="171" t="s">
        <v>182</v>
      </c>
      <c r="D1625" s="171" t="s">
        <v>4</v>
      </c>
      <c r="E1625" s="11">
        <v>41456</v>
      </c>
      <c r="H1625" t="e">
        <v>#DIV/0!</v>
      </c>
      <c r="K1625" t="e">
        <v>#DIV/0!</v>
      </c>
      <c r="M1625" t="e">
        <v>#DIV/0!</v>
      </c>
      <c r="R1625" t="e">
        <v>#DIV/0!</v>
      </c>
      <c r="T1625">
        <v>0.43</v>
      </c>
    </row>
    <row r="1626" spans="1:20" x14ac:dyDescent="0.3">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x14ac:dyDescent="0.3">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3279</v>
      </c>
      <c r="B1630" s="171" t="s">
        <v>3280</v>
      </c>
      <c r="C1630" s="171" t="s">
        <v>197</v>
      </c>
      <c r="D1630" s="171" t="s">
        <v>4</v>
      </c>
      <c r="E1630" s="11">
        <v>41456</v>
      </c>
      <c r="H1630" t="e">
        <v>#DIV/0!</v>
      </c>
      <c r="K1630" t="e">
        <v>#DIV/0!</v>
      </c>
      <c r="M1630" t="e">
        <v>#DIV/0!</v>
      </c>
      <c r="R1630" t="e">
        <v>#DIV/0!</v>
      </c>
    </row>
    <row r="1631" spans="1:20" x14ac:dyDescent="0.3">
      <c r="A1631" t="s">
        <v>3281</v>
      </c>
      <c r="B1631" s="171" t="s">
        <v>3282</v>
      </c>
      <c r="C1631" s="171" t="s">
        <v>209</v>
      </c>
      <c r="D1631" s="171" t="s">
        <v>4</v>
      </c>
      <c r="E1631" s="11">
        <v>41456</v>
      </c>
      <c r="H1631" t="e">
        <v>#DIV/0!</v>
      </c>
      <c r="K1631" t="e">
        <v>#DIV/0!</v>
      </c>
      <c r="M1631" t="e">
        <v>#DIV/0!</v>
      </c>
      <c r="R1631" t="e">
        <v>#DIV/0!</v>
      </c>
      <c r="T1631">
        <v>0.86324786324786318</v>
      </c>
    </row>
    <row r="1632" spans="1:20" x14ac:dyDescent="0.3">
      <c r="A1632" t="s">
        <v>3283</v>
      </c>
      <c r="B1632" s="171" t="s">
        <v>3284</v>
      </c>
      <c r="C1632" s="171" t="s">
        <v>212</v>
      </c>
      <c r="D1632" s="171" t="s">
        <v>80</v>
      </c>
      <c r="E1632" s="11">
        <v>41456</v>
      </c>
      <c r="H1632" t="e">
        <v>#DIV/0!</v>
      </c>
      <c r="K1632" t="e">
        <v>#DIV/0!</v>
      </c>
      <c r="M1632" t="e">
        <v>#DIV/0!</v>
      </c>
      <c r="R1632" t="e">
        <v>#DIV/0!</v>
      </c>
      <c r="T1632">
        <v>1.1499999999999999</v>
      </c>
    </row>
    <row r="1633" spans="1:20" x14ac:dyDescent="0.3">
      <c r="A1633" t="s">
        <v>3285</v>
      </c>
      <c r="B1633" s="171" t="s">
        <v>3286</v>
      </c>
      <c r="C1633" s="171" t="s">
        <v>215</v>
      </c>
      <c r="D1633" s="171" t="s">
        <v>80</v>
      </c>
      <c r="E1633" s="11">
        <v>41456</v>
      </c>
      <c r="H1633" t="e">
        <v>#DIV/0!</v>
      </c>
      <c r="K1633" t="e">
        <v>#DIV/0!</v>
      </c>
      <c r="M1633" t="e">
        <v>#DIV/0!</v>
      </c>
      <c r="R1633" t="e">
        <v>#DIV/0!</v>
      </c>
      <c r="T1633">
        <v>0.88888888888888884</v>
      </c>
    </row>
    <row r="1634" spans="1:20" x14ac:dyDescent="0.3">
      <c r="A1634" t="s">
        <v>3287</v>
      </c>
      <c r="B1634" s="171" t="s">
        <v>3288</v>
      </c>
      <c r="C1634" s="171" t="s">
        <v>218</v>
      </c>
      <c r="D1634" s="171" t="s">
        <v>4</v>
      </c>
      <c r="E1634" s="11">
        <v>41456</v>
      </c>
      <c r="H1634" t="e">
        <v>#DIV/0!</v>
      </c>
      <c r="K1634" t="e">
        <v>#DIV/0!</v>
      </c>
      <c r="M1634" t="e">
        <v>#DIV/0!</v>
      </c>
      <c r="R1634" t="e">
        <v>#DIV/0!</v>
      </c>
    </row>
    <row r="1635" spans="1:20" x14ac:dyDescent="0.3">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3295</v>
      </c>
      <c r="B1638" s="171" t="s">
        <v>3296</v>
      </c>
      <c r="C1638" s="171" t="s">
        <v>143</v>
      </c>
      <c r="D1638" s="171" t="s">
        <v>4</v>
      </c>
      <c r="E1638" s="11">
        <v>41456</v>
      </c>
      <c r="H1638" t="e">
        <v>#DIV/0!</v>
      </c>
      <c r="K1638" t="e">
        <v>#DIV/0!</v>
      </c>
      <c r="M1638" t="e">
        <v>#DIV/0!</v>
      </c>
      <c r="N1638">
        <v>0</v>
      </c>
      <c r="R1638" t="e">
        <v>#DIV/0!</v>
      </c>
      <c r="T1638">
        <v>1.4285714285714286</v>
      </c>
    </row>
    <row r="1639" spans="1:20" x14ac:dyDescent="0.3">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x14ac:dyDescent="0.3">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x14ac:dyDescent="0.3">
      <c r="A1643" t="s">
        <v>3305</v>
      </c>
      <c r="B1643" s="171" t="s">
        <v>3306</v>
      </c>
      <c r="C1643" s="171" t="s">
        <v>158</v>
      </c>
      <c r="D1643" s="171" t="s">
        <v>4</v>
      </c>
      <c r="E1643" s="11">
        <v>41456</v>
      </c>
      <c r="H1643" t="e">
        <v>#DIV/0!</v>
      </c>
      <c r="K1643" t="e">
        <v>#DIV/0!</v>
      </c>
      <c r="M1643" t="e">
        <v>#DIV/0!</v>
      </c>
      <c r="P1643">
        <v>0</v>
      </c>
      <c r="Q1643">
        <v>0</v>
      </c>
    </row>
    <row r="1644" spans="1:20" x14ac:dyDescent="0.3">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x14ac:dyDescent="0.3">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x14ac:dyDescent="0.3">
      <c r="A1647" t="s">
        <v>3313</v>
      </c>
      <c r="B1647" s="171" t="s">
        <v>3314</v>
      </c>
      <c r="C1647" s="171" t="s">
        <v>224</v>
      </c>
      <c r="D1647" s="171" t="s">
        <v>4</v>
      </c>
      <c r="E1647" s="11">
        <v>41456</v>
      </c>
      <c r="F1647">
        <v>0</v>
      </c>
      <c r="G1647">
        <v>1</v>
      </c>
      <c r="H1647">
        <v>0</v>
      </c>
      <c r="I1647">
        <v>0</v>
      </c>
      <c r="J1647">
        <v>0</v>
      </c>
      <c r="L1647">
        <v>5</v>
      </c>
      <c r="M1647">
        <v>0</v>
      </c>
      <c r="P1647">
        <v>0</v>
      </c>
      <c r="Q1647">
        <v>0</v>
      </c>
    </row>
    <row r="1648" spans="1:20" x14ac:dyDescent="0.3">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3317</v>
      </c>
      <c r="B1649" s="171" t="s">
        <v>3318</v>
      </c>
      <c r="C1649" s="171" t="s">
        <v>230</v>
      </c>
      <c r="D1649" s="171" t="s">
        <v>4</v>
      </c>
      <c r="E1649" s="11">
        <v>41456</v>
      </c>
      <c r="H1649" t="e">
        <v>#DIV/0!</v>
      </c>
      <c r="M1649" t="e">
        <v>#DIV/0!</v>
      </c>
    </row>
    <row r="1650" spans="1:20" x14ac:dyDescent="0.3">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x14ac:dyDescent="0.3">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x14ac:dyDescent="0.3">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x14ac:dyDescent="0.3">
      <c r="A1664" t="s">
        <v>3347</v>
      </c>
      <c r="B1664" s="171" t="s">
        <v>3348</v>
      </c>
      <c r="C1664" s="171" t="s">
        <v>116</v>
      </c>
      <c r="D1664" s="171" t="s">
        <v>80</v>
      </c>
      <c r="E1664" s="11">
        <v>41487</v>
      </c>
      <c r="H1664" t="e">
        <v>#DIV/0!</v>
      </c>
      <c r="K1664" t="e">
        <v>#DIV/0!</v>
      </c>
      <c r="M1664" t="e">
        <v>#DIV/0!</v>
      </c>
      <c r="R1664" t="e">
        <v>#DIV/0!</v>
      </c>
    </row>
    <row r="1665" spans="1:20" x14ac:dyDescent="0.3">
      <c r="A1665" t="s">
        <v>3349</v>
      </c>
      <c r="B1665" s="171" t="s">
        <v>3350</v>
      </c>
      <c r="C1665" s="171" t="s">
        <v>119</v>
      </c>
      <c r="D1665" s="171" t="s">
        <v>80</v>
      </c>
      <c r="E1665" s="11">
        <v>41487</v>
      </c>
      <c r="H1665" t="e">
        <v>#DIV/0!</v>
      </c>
      <c r="K1665" t="e">
        <v>#DIV/0!</v>
      </c>
      <c r="M1665" t="e">
        <v>#DIV/0!</v>
      </c>
      <c r="R1665" t="e">
        <v>#DIV/0!</v>
      </c>
      <c r="T1665">
        <v>1</v>
      </c>
    </row>
    <row r="1666" spans="1:20" x14ac:dyDescent="0.3">
      <c r="A1666" t="s">
        <v>3351</v>
      </c>
      <c r="B1666" s="171" t="s">
        <v>3352</v>
      </c>
      <c r="C1666" s="171" t="s">
        <v>122</v>
      </c>
      <c r="D1666" s="171" t="s">
        <v>4</v>
      </c>
      <c r="E1666" s="11">
        <v>41487</v>
      </c>
      <c r="H1666" t="e">
        <v>#DIV/0!</v>
      </c>
      <c r="K1666" t="e">
        <v>#DIV/0!</v>
      </c>
      <c r="M1666" t="e">
        <v>#DIV/0!</v>
      </c>
      <c r="R1666" t="e">
        <v>#DIV/0!</v>
      </c>
    </row>
    <row r="1667" spans="1:20" x14ac:dyDescent="0.3">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3359</v>
      </c>
      <c r="B1670" s="171" t="s">
        <v>3360</v>
      </c>
      <c r="C1670" s="171" t="s">
        <v>134</v>
      </c>
      <c r="D1670" s="171" t="s">
        <v>80</v>
      </c>
      <c r="E1670" s="11">
        <v>41487</v>
      </c>
      <c r="H1670" t="e">
        <v>#DIV/0!</v>
      </c>
      <c r="K1670" t="e">
        <v>#DIV/0!</v>
      </c>
      <c r="M1670" t="e">
        <v>#DIV/0!</v>
      </c>
      <c r="R1670" t="e">
        <v>#DIV/0!</v>
      </c>
      <c r="T1670">
        <v>1</v>
      </c>
    </row>
    <row r="1671" spans="1:20" x14ac:dyDescent="0.3">
      <c r="A1671" t="s">
        <v>3361</v>
      </c>
      <c r="B1671" s="171" t="s">
        <v>3362</v>
      </c>
      <c r="C1671" s="171" t="s">
        <v>137</v>
      </c>
      <c r="D1671" s="171" t="s">
        <v>4</v>
      </c>
      <c r="E1671" s="11">
        <v>41487</v>
      </c>
      <c r="H1671" t="e">
        <v>#DIV/0!</v>
      </c>
      <c r="K1671" t="e">
        <v>#DIV/0!</v>
      </c>
      <c r="M1671" t="e">
        <v>#DIV/0!</v>
      </c>
      <c r="R1671" t="e">
        <v>#DIV/0!</v>
      </c>
      <c r="T1671">
        <v>1</v>
      </c>
    </row>
    <row r="1672" spans="1:20" x14ac:dyDescent="0.3">
      <c r="A1672" t="s">
        <v>3363</v>
      </c>
      <c r="B1672" s="171" t="s">
        <v>3364</v>
      </c>
      <c r="C1672" s="171" t="s">
        <v>140</v>
      </c>
      <c r="D1672" s="171" t="s">
        <v>80</v>
      </c>
      <c r="E1672" s="11">
        <v>41487</v>
      </c>
      <c r="H1672" t="e">
        <v>#DIV/0!</v>
      </c>
      <c r="K1672" t="e">
        <v>#DIV/0!</v>
      </c>
      <c r="M1672" t="e">
        <v>#DIV/0!</v>
      </c>
      <c r="R1672" t="e">
        <v>#DIV/0!</v>
      </c>
      <c r="T1672">
        <v>0</v>
      </c>
    </row>
    <row r="1673" spans="1:20" x14ac:dyDescent="0.3">
      <c r="A1673" t="s">
        <v>3365</v>
      </c>
      <c r="B1673" s="171" t="s">
        <v>3366</v>
      </c>
      <c r="C1673" s="171" t="s">
        <v>143</v>
      </c>
      <c r="D1673" s="171" t="s">
        <v>80</v>
      </c>
      <c r="E1673" s="11">
        <v>41487</v>
      </c>
      <c r="H1673" t="e">
        <v>#DIV/0!</v>
      </c>
      <c r="K1673" t="e">
        <v>#DIV/0!</v>
      </c>
      <c r="M1673" t="e">
        <v>#DIV/0!</v>
      </c>
      <c r="N1673">
        <v>0</v>
      </c>
      <c r="R1673" t="e">
        <v>#DIV/0!</v>
      </c>
      <c r="T1673">
        <v>0.9642857142857143</v>
      </c>
    </row>
    <row r="1674" spans="1:20" x14ac:dyDescent="0.3">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x14ac:dyDescent="0.3">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3375</v>
      </c>
      <c r="B1678" s="171" t="s">
        <v>3376</v>
      </c>
      <c r="C1678" s="171" t="s">
        <v>158</v>
      </c>
      <c r="D1678" s="171" t="s">
        <v>80</v>
      </c>
      <c r="E1678" s="11">
        <v>41487</v>
      </c>
      <c r="H1678" t="e">
        <v>#DIV/0!</v>
      </c>
      <c r="K1678" t="e">
        <v>#DIV/0!</v>
      </c>
      <c r="M1678" t="e">
        <v>#DIV/0!</v>
      </c>
      <c r="T1678">
        <v>0.69271428571428573</v>
      </c>
    </row>
    <row r="1679" spans="1:20" x14ac:dyDescent="0.3">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x14ac:dyDescent="0.3">
      <c r="A1681" t="s">
        <v>3381</v>
      </c>
      <c r="B1681" s="171" t="s">
        <v>3382</v>
      </c>
      <c r="C1681" s="171" t="s">
        <v>167</v>
      </c>
      <c r="D1681" s="171" t="s">
        <v>4</v>
      </c>
      <c r="E1681" s="11">
        <v>41487</v>
      </c>
      <c r="H1681" t="e">
        <v>#DIV/0!</v>
      </c>
      <c r="K1681" t="e">
        <v>#DIV/0!</v>
      </c>
      <c r="M1681" t="e">
        <v>#DIV/0!</v>
      </c>
      <c r="R1681" t="e">
        <v>#DIV/0!</v>
      </c>
      <c r="T1681">
        <v>0.43</v>
      </c>
    </row>
    <row r="1682" spans="1:20" x14ac:dyDescent="0.3">
      <c r="A1682" t="s">
        <v>3383</v>
      </c>
      <c r="B1682" s="171" t="s">
        <v>3384</v>
      </c>
      <c r="C1682" s="171" t="s">
        <v>170</v>
      </c>
      <c r="D1682" s="171" t="s">
        <v>80</v>
      </c>
      <c r="E1682" s="11">
        <v>41487</v>
      </c>
      <c r="H1682" t="e">
        <v>#DIV/0!</v>
      </c>
      <c r="K1682" t="e">
        <v>#DIV/0!</v>
      </c>
      <c r="M1682" t="e">
        <v>#DIV/0!</v>
      </c>
      <c r="R1682" t="e">
        <v>#DIV/0!</v>
      </c>
    </row>
    <row r="1683" spans="1:20" x14ac:dyDescent="0.3">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x14ac:dyDescent="0.3">
      <c r="A1685" t="s">
        <v>3389</v>
      </c>
      <c r="B1685" s="171" t="s">
        <v>3390</v>
      </c>
      <c r="C1685" s="171" t="s">
        <v>179</v>
      </c>
      <c r="D1685" s="171" t="s">
        <v>4</v>
      </c>
      <c r="E1685" s="11">
        <v>41487</v>
      </c>
      <c r="H1685" t="e">
        <v>#DIV/0!</v>
      </c>
      <c r="K1685" t="e">
        <v>#DIV/0!</v>
      </c>
      <c r="M1685" t="e">
        <v>#DIV/0!</v>
      </c>
      <c r="R1685" t="e">
        <v>#DIV/0!</v>
      </c>
    </row>
    <row r="1686" spans="1:20" x14ac:dyDescent="0.3">
      <c r="A1686" t="s">
        <v>3391</v>
      </c>
      <c r="B1686" s="171" t="s">
        <v>3392</v>
      </c>
      <c r="C1686" s="171" t="s">
        <v>182</v>
      </c>
      <c r="D1686" s="171" t="s">
        <v>80</v>
      </c>
      <c r="E1686" s="11">
        <v>41487</v>
      </c>
      <c r="H1686" t="e">
        <v>#DIV/0!</v>
      </c>
      <c r="K1686" t="e">
        <v>#DIV/0!</v>
      </c>
      <c r="M1686" t="e">
        <v>#DIV/0!</v>
      </c>
      <c r="R1686" t="e">
        <v>#DIV/0!</v>
      </c>
    </row>
    <row r="1687" spans="1:20" x14ac:dyDescent="0.3">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3401</v>
      </c>
      <c r="B1691" s="171" t="s">
        <v>3402</v>
      </c>
      <c r="C1691" s="171" t="s">
        <v>197</v>
      </c>
      <c r="D1691" s="171" t="s">
        <v>80</v>
      </c>
      <c r="E1691" s="11">
        <v>41487</v>
      </c>
      <c r="H1691" t="e">
        <v>#DIV/0!</v>
      </c>
      <c r="K1691" t="e">
        <v>#DIV/0!</v>
      </c>
      <c r="M1691" t="e">
        <v>#DIV/0!</v>
      </c>
      <c r="R1691" t="e">
        <v>#DIV/0!</v>
      </c>
    </row>
    <row r="1692" spans="1:20" x14ac:dyDescent="0.3">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x14ac:dyDescent="0.3">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3409</v>
      </c>
      <c r="B1695" s="171" t="s">
        <v>3410</v>
      </c>
      <c r="C1695" s="171" t="s">
        <v>209</v>
      </c>
      <c r="D1695" s="171" t="s">
        <v>80</v>
      </c>
      <c r="E1695" s="11">
        <v>41487</v>
      </c>
      <c r="H1695" t="e">
        <v>#DIV/0!</v>
      </c>
      <c r="K1695" t="e">
        <v>#DIV/0!</v>
      </c>
      <c r="M1695" t="e">
        <v>#DIV/0!</v>
      </c>
      <c r="R1695" t="e">
        <v>#DIV/0!</v>
      </c>
    </row>
    <row r="1696" spans="1:20" x14ac:dyDescent="0.3">
      <c r="A1696" t="s">
        <v>3411</v>
      </c>
      <c r="B1696" s="171" t="s">
        <v>3412</v>
      </c>
      <c r="C1696" s="171" t="s">
        <v>212</v>
      </c>
      <c r="D1696" s="171" t="s">
        <v>4</v>
      </c>
      <c r="E1696" s="11">
        <v>41487</v>
      </c>
      <c r="H1696" t="e">
        <v>#DIV/0!</v>
      </c>
      <c r="K1696" t="e">
        <v>#DIV/0!</v>
      </c>
      <c r="M1696" t="e">
        <v>#DIV/0!</v>
      </c>
      <c r="R1696" t="e">
        <v>#DIV/0!</v>
      </c>
      <c r="T1696">
        <v>1.1499999999999999</v>
      </c>
    </row>
    <row r="1697" spans="1:20" x14ac:dyDescent="0.3">
      <c r="A1697" t="s">
        <v>3413</v>
      </c>
      <c r="B1697" s="171" t="s">
        <v>3414</v>
      </c>
      <c r="C1697" s="171" t="s">
        <v>215</v>
      </c>
      <c r="D1697" s="171" t="s">
        <v>4</v>
      </c>
      <c r="E1697" s="11">
        <v>41487</v>
      </c>
      <c r="H1697" t="e">
        <v>#DIV/0!</v>
      </c>
      <c r="K1697" t="e">
        <v>#DIV/0!</v>
      </c>
      <c r="M1697" t="e">
        <v>#DIV/0!</v>
      </c>
      <c r="R1697" t="e">
        <v>#DIV/0!</v>
      </c>
      <c r="T1697">
        <v>0.6</v>
      </c>
    </row>
    <row r="1698" spans="1:20" x14ac:dyDescent="0.3">
      <c r="A1698" t="s">
        <v>3415</v>
      </c>
      <c r="B1698" s="171" t="s">
        <v>3416</v>
      </c>
      <c r="C1698" s="171" t="s">
        <v>218</v>
      </c>
      <c r="D1698" s="171" t="s">
        <v>80</v>
      </c>
      <c r="E1698" s="11">
        <v>41487</v>
      </c>
      <c r="H1698" t="e">
        <v>#DIV/0!</v>
      </c>
      <c r="K1698" t="e">
        <v>#DIV/0!</v>
      </c>
      <c r="M1698" t="e">
        <v>#DIV/0!</v>
      </c>
      <c r="R1698" t="e">
        <v>#DIV/0!</v>
      </c>
    </row>
    <row r="1699" spans="1:20" x14ac:dyDescent="0.3">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x14ac:dyDescent="0.3">
      <c r="A1700" t="s">
        <v>3419</v>
      </c>
      <c r="B1700" s="171" t="s">
        <v>3420</v>
      </c>
      <c r="C1700" s="171" t="s">
        <v>224</v>
      </c>
      <c r="D1700" s="171" t="s">
        <v>80</v>
      </c>
      <c r="E1700" s="11">
        <v>41487</v>
      </c>
      <c r="F1700">
        <v>0</v>
      </c>
      <c r="G1700">
        <v>1</v>
      </c>
      <c r="H1700">
        <v>0</v>
      </c>
      <c r="I1700">
        <v>0</v>
      </c>
      <c r="J1700">
        <v>0</v>
      </c>
      <c r="L1700">
        <v>5</v>
      </c>
      <c r="M1700">
        <v>0</v>
      </c>
      <c r="P1700">
        <v>0</v>
      </c>
      <c r="Q1700">
        <v>0</v>
      </c>
    </row>
    <row r="1701" spans="1:20" x14ac:dyDescent="0.3">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x14ac:dyDescent="0.3">
      <c r="A1702" t="s">
        <v>3423</v>
      </c>
      <c r="B1702" s="171" t="s">
        <v>3424</v>
      </c>
      <c r="C1702" s="171" t="s">
        <v>230</v>
      </c>
      <c r="D1702" s="171" t="s">
        <v>80</v>
      </c>
      <c r="E1702" s="11">
        <v>41487</v>
      </c>
      <c r="H1702" t="e">
        <v>#DIV/0!</v>
      </c>
      <c r="M1702" t="e">
        <v>#DIV/0!</v>
      </c>
    </row>
    <row r="1703" spans="1:20" x14ac:dyDescent="0.3">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x14ac:dyDescent="0.3">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x14ac:dyDescent="0.3">
      <c r="A1716" t="s">
        <v>3451</v>
      </c>
      <c r="B1716" s="171" t="s">
        <v>3452</v>
      </c>
      <c r="C1716" s="171" t="s">
        <v>116</v>
      </c>
      <c r="D1716" s="171" t="s">
        <v>4</v>
      </c>
      <c r="E1716" s="11">
        <v>41487</v>
      </c>
      <c r="H1716" t="e">
        <v>#DIV/0!</v>
      </c>
      <c r="K1716" t="e">
        <v>#DIV/0!</v>
      </c>
      <c r="M1716" t="e">
        <v>#DIV/0!</v>
      </c>
      <c r="R1716" t="e">
        <v>#DIV/0!</v>
      </c>
    </row>
    <row r="1717" spans="1:20" x14ac:dyDescent="0.3">
      <c r="A1717" t="s">
        <v>3453</v>
      </c>
      <c r="B1717" s="171" t="s">
        <v>3454</v>
      </c>
      <c r="C1717" s="171" t="s">
        <v>119</v>
      </c>
      <c r="D1717" s="171" t="s">
        <v>4</v>
      </c>
      <c r="E1717" s="11">
        <v>41487</v>
      </c>
      <c r="H1717" t="e">
        <v>#DIV/0!</v>
      </c>
      <c r="K1717" t="e">
        <v>#DIV/0!</v>
      </c>
      <c r="M1717" t="e">
        <v>#DIV/0!</v>
      </c>
      <c r="R1717" t="e">
        <v>#DIV/0!</v>
      </c>
    </row>
    <row r="1718" spans="1:20" x14ac:dyDescent="0.3">
      <c r="A1718" t="s">
        <v>3455</v>
      </c>
      <c r="B1718" s="171" t="s">
        <v>3456</v>
      </c>
      <c r="C1718" s="171" t="s">
        <v>122</v>
      </c>
      <c r="D1718" s="171" t="s">
        <v>80</v>
      </c>
      <c r="E1718" s="11">
        <v>41487</v>
      </c>
      <c r="H1718" t="e">
        <v>#DIV/0!</v>
      </c>
      <c r="K1718" t="e">
        <v>#DIV/0!</v>
      </c>
      <c r="M1718" t="e">
        <v>#DIV/0!</v>
      </c>
      <c r="R1718" t="e">
        <v>#DIV/0!</v>
      </c>
    </row>
    <row r="1719" spans="1:20" x14ac:dyDescent="0.3">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3463</v>
      </c>
      <c r="B1722" s="171" t="s">
        <v>3464</v>
      </c>
      <c r="C1722" s="171" t="s">
        <v>134</v>
      </c>
      <c r="D1722" s="171" t="s">
        <v>4</v>
      </c>
      <c r="E1722" s="11">
        <v>41487</v>
      </c>
      <c r="H1722" t="e">
        <v>#DIV/0!</v>
      </c>
      <c r="K1722" t="e">
        <v>#DIV/0!</v>
      </c>
      <c r="M1722" t="e">
        <v>#DIV/0!</v>
      </c>
      <c r="R1722" t="e">
        <v>#DIV/0!</v>
      </c>
    </row>
    <row r="1723" spans="1:20" x14ac:dyDescent="0.3">
      <c r="A1723" t="s">
        <v>3465</v>
      </c>
      <c r="B1723" s="171" t="s">
        <v>3466</v>
      </c>
      <c r="C1723" s="171" t="s">
        <v>137</v>
      </c>
      <c r="D1723" s="171" t="s">
        <v>80</v>
      </c>
      <c r="E1723" s="11">
        <v>41487</v>
      </c>
      <c r="H1723" t="e">
        <v>#DIV/0!</v>
      </c>
      <c r="K1723" t="e">
        <v>#DIV/0!</v>
      </c>
      <c r="M1723" t="e">
        <v>#DIV/0!</v>
      </c>
      <c r="R1723" t="e">
        <v>#DIV/0!</v>
      </c>
      <c r="T1723">
        <v>0.79903571428571429</v>
      </c>
    </row>
    <row r="1724" spans="1:20" x14ac:dyDescent="0.3">
      <c r="A1724" t="s">
        <v>3467</v>
      </c>
      <c r="B1724" s="171" t="s">
        <v>3468</v>
      </c>
      <c r="C1724" s="171" t="s">
        <v>140</v>
      </c>
      <c r="D1724" s="171" t="s">
        <v>4</v>
      </c>
      <c r="E1724" s="11">
        <v>41487</v>
      </c>
      <c r="H1724" t="e">
        <v>#DIV/0!</v>
      </c>
      <c r="K1724" t="e">
        <v>#DIV/0!</v>
      </c>
      <c r="M1724" t="e">
        <v>#DIV/0!</v>
      </c>
      <c r="R1724" t="e">
        <v>#DIV/0!</v>
      </c>
      <c r="T1724">
        <v>0.83450000000000002</v>
      </c>
    </row>
    <row r="1725" spans="1:20" x14ac:dyDescent="0.3">
      <c r="A1725" t="s">
        <v>3469</v>
      </c>
      <c r="B1725" s="171" t="s">
        <v>3470</v>
      </c>
      <c r="C1725" s="171" t="s">
        <v>167</v>
      </c>
      <c r="D1725" s="171" t="s">
        <v>80</v>
      </c>
      <c r="E1725" s="11">
        <v>41487</v>
      </c>
      <c r="H1725" t="e">
        <v>#DIV/0!</v>
      </c>
      <c r="K1725" t="e">
        <v>#DIV/0!</v>
      </c>
      <c r="M1725" t="e">
        <v>#DIV/0!</v>
      </c>
      <c r="R1725" t="e">
        <v>#DIV/0!</v>
      </c>
      <c r="T1725">
        <v>0.66900000000000004</v>
      </c>
    </row>
    <row r="1726" spans="1:20" x14ac:dyDescent="0.3">
      <c r="A1726" t="s">
        <v>3471</v>
      </c>
      <c r="B1726" s="171" t="s">
        <v>3472</v>
      </c>
      <c r="C1726" s="171" t="s">
        <v>170</v>
      </c>
      <c r="D1726" s="171" t="s">
        <v>4</v>
      </c>
      <c r="E1726" s="11">
        <v>41487</v>
      </c>
      <c r="H1726" t="e">
        <v>#DIV/0!</v>
      </c>
      <c r="K1726" t="e">
        <v>#DIV/0!</v>
      </c>
      <c r="M1726" t="e">
        <v>#DIV/0!</v>
      </c>
      <c r="R1726" t="e">
        <v>#DIV/0!</v>
      </c>
      <c r="T1726">
        <v>1</v>
      </c>
    </row>
    <row r="1727" spans="1:20" x14ac:dyDescent="0.3">
      <c r="A1727" t="s">
        <v>3473</v>
      </c>
      <c r="B1727" s="171" t="s">
        <v>3474</v>
      </c>
      <c r="C1727" s="171" t="s">
        <v>179</v>
      </c>
      <c r="D1727" s="171" t="s">
        <v>80</v>
      </c>
      <c r="E1727" s="11">
        <v>41487</v>
      </c>
      <c r="H1727" t="e">
        <v>#DIV/0!</v>
      </c>
      <c r="K1727" t="e">
        <v>#DIV/0!</v>
      </c>
      <c r="M1727" t="e">
        <v>#DIV/0!</v>
      </c>
      <c r="R1727" t="e">
        <v>#DIV/0!</v>
      </c>
      <c r="T1727">
        <v>1</v>
      </c>
    </row>
    <row r="1728" spans="1:20" x14ac:dyDescent="0.3">
      <c r="A1728" t="s">
        <v>3475</v>
      </c>
      <c r="B1728" s="171" t="s">
        <v>3476</v>
      </c>
      <c r="C1728" s="171" t="s">
        <v>182</v>
      </c>
      <c r="D1728" s="171" t="s">
        <v>4</v>
      </c>
      <c r="E1728" s="11">
        <v>41487</v>
      </c>
      <c r="H1728" t="e">
        <v>#DIV/0!</v>
      </c>
      <c r="K1728" t="e">
        <v>#DIV/0!</v>
      </c>
      <c r="M1728" t="e">
        <v>#DIV/0!</v>
      </c>
      <c r="R1728" t="e">
        <v>#DIV/0!</v>
      </c>
      <c r="T1728">
        <v>0</v>
      </c>
    </row>
    <row r="1729" spans="1:20" x14ac:dyDescent="0.3">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3485</v>
      </c>
      <c r="B1733" s="171" t="s">
        <v>3486</v>
      </c>
      <c r="C1733" s="171" t="s">
        <v>197</v>
      </c>
      <c r="D1733" s="171" t="s">
        <v>4</v>
      </c>
      <c r="E1733" s="11">
        <v>41487</v>
      </c>
      <c r="H1733" t="e">
        <v>#DIV/0!</v>
      </c>
      <c r="K1733" t="e">
        <v>#DIV/0!</v>
      </c>
      <c r="M1733" t="e">
        <v>#DIV/0!</v>
      </c>
      <c r="R1733" t="e">
        <v>#DIV/0!</v>
      </c>
      <c r="T1733">
        <v>0.97857142857142865</v>
      </c>
    </row>
    <row r="1734" spans="1:20" x14ac:dyDescent="0.3">
      <c r="A1734" t="s">
        <v>3487</v>
      </c>
      <c r="B1734" s="171" t="s">
        <v>3488</v>
      </c>
      <c r="C1734" s="171" t="s">
        <v>209</v>
      </c>
      <c r="D1734" s="171" t="s">
        <v>4</v>
      </c>
      <c r="E1734" s="11">
        <v>41487</v>
      </c>
      <c r="H1734" t="e">
        <v>#DIV/0!</v>
      </c>
      <c r="K1734" t="e">
        <v>#DIV/0!</v>
      </c>
      <c r="M1734" t="e">
        <v>#DIV/0!</v>
      </c>
      <c r="R1734" t="e">
        <v>#DIV/0!</v>
      </c>
      <c r="T1734">
        <v>0.84560386473429949</v>
      </c>
    </row>
    <row r="1735" spans="1:20" x14ac:dyDescent="0.3">
      <c r="A1735" t="s">
        <v>3489</v>
      </c>
      <c r="B1735" s="171" t="s">
        <v>3490</v>
      </c>
      <c r="C1735" s="171" t="s">
        <v>212</v>
      </c>
      <c r="D1735" s="171" t="s">
        <v>80</v>
      </c>
      <c r="E1735" s="11">
        <v>41487</v>
      </c>
      <c r="H1735" t="e">
        <v>#DIV/0!</v>
      </c>
      <c r="K1735" t="e">
        <v>#DIV/0!</v>
      </c>
      <c r="M1735" t="e">
        <v>#DIV/0!</v>
      </c>
      <c r="R1735" t="e">
        <v>#DIV/0!</v>
      </c>
      <c r="T1735">
        <v>0</v>
      </c>
    </row>
    <row r="1736" spans="1:20" x14ac:dyDescent="0.3">
      <c r="A1736" t="s">
        <v>3491</v>
      </c>
      <c r="B1736" s="171" t="s">
        <v>3492</v>
      </c>
      <c r="C1736" s="171" t="s">
        <v>215</v>
      </c>
      <c r="D1736" s="171" t="s">
        <v>80</v>
      </c>
      <c r="E1736" s="11">
        <v>41487</v>
      </c>
      <c r="H1736" t="e">
        <v>#DIV/0!</v>
      </c>
      <c r="K1736" t="e">
        <v>#DIV/0!</v>
      </c>
      <c r="M1736" t="e">
        <v>#DIV/0!</v>
      </c>
      <c r="R1736" t="e">
        <v>#DIV/0!</v>
      </c>
      <c r="T1736">
        <v>0.88491572348746272</v>
      </c>
    </row>
    <row r="1737" spans="1:20" x14ac:dyDescent="0.3">
      <c r="A1737" t="s">
        <v>3493</v>
      </c>
      <c r="B1737" s="171" t="s">
        <v>3494</v>
      </c>
      <c r="C1737" s="171" t="s">
        <v>218</v>
      </c>
      <c r="D1737" s="171" t="s">
        <v>4</v>
      </c>
      <c r="E1737" s="11">
        <v>41487</v>
      </c>
      <c r="H1737" t="e">
        <v>#DIV/0!</v>
      </c>
      <c r="K1737" t="e">
        <v>#DIV/0!</v>
      </c>
      <c r="M1737" t="e">
        <v>#DIV/0!</v>
      </c>
      <c r="R1737" t="e">
        <v>#DIV/0!</v>
      </c>
      <c r="T1737">
        <v>0.8</v>
      </c>
    </row>
    <row r="1738" spans="1:20" x14ac:dyDescent="0.3">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3501</v>
      </c>
      <c r="B1741" s="171" t="s">
        <v>3502</v>
      </c>
      <c r="C1741" s="171" t="s">
        <v>143</v>
      </c>
      <c r="D1741" s="171" t="s">
        <v>4</v>
      </c>
      <c r="E1741" s="11">
        <v>41487</v>
      </c>
      <c r="H1741" t="e">
        <v>#DIV/0!</v>
      </c>
      <c r="K1741" t="e">
        <v>#DIV/0!</v>
      </c>
      <c r="M1741" t="e">
        <v>#DIV/0!</v>
      </c>
      <c r="N1741">
        <v>0</v>
      </c>
      <c r="R1741" t="e">
        <v>#DIV/0!</v>
      </c>
    </row>
    <row r="1742" spans="1:20" x14ac:dyDescent="0.3">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x14ac:dyDescent="0.3">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3511</v>
      </c>
      <c r="B1746" s="171" t="s">
        <v>3512</v>
      </c>
      <c r="C1746" s="171" t="s">
        <v>158</v>
      </c>
      <c r="D1746" s="171" t="s">
        <v>4</v>
      </c>
      <c r="E1746" s="11">
        <v>41487</v>
      </c>
      <c r="H1746" t="e">
        <v>#DIV/0!</v>
      </c>
      <c r="K1746" t="e">
        <v>#DIV/0!</v>
      </c>
      <c r="M1746" t="e">
        <v>#DIV/0!</v>
      </c>
    </row>
    <row r="1747" spans="1:20" x14ac:dyDescent="0.3">
      <c r="A1747" t="s">
        <v>3513</v>
      </c>
      <c r="B1747" s="171" t="s">
        <v>3514</v>
      </c>
      <c r="C1747" s="171" t="s">
        <v>164</v>
      </c>
      <c r="D1747" s="171" t="s">
        <v>4</v>
      </c>
      <c r="E1747" s="11">
        <v>41487</v>
      </c>
      <c r="F1747">
        <v>3</v>
      </c>
      <c r="G1747">
        <v>3</v>
      </c>
      <c r="H1747">
        <v>1</v>
      </c>
      <c r="I1747">
        <v>6</v>
      </c>
      <c r="J1747">
        <v>7</v>
      </c>
      <c r="K1747">
        <v>0.8571428571428571</v>
      </c>
      <c r="L1747">
        <v>7</v>
      </c>
      <c r="M1747">
        <v>1</v>
      </c>
    </row>
    <row r="1748" spans="1:20" x14ac:dyDescent="0.3">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x14ac:dyDescent="0.3">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x14ac:dyDescent="0.3">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x14ac:dyDescent="0.3">
      <c r="A1752" t="s">
        <v>3523</v>
      </c>
      <c r="B1752" s="171" t="s">
        <v>3524</v>
      </c>
      <c r="C1752" s="171" t="s">
        <v>230</v>
      </c>
      <c r="D1752" s="171" t="s">
        <v>4</v>
      </c>
      <c r="E1752" s="11">
        <v>41487</v>
      </c>
      <c r="H1752" t="e">
        <v>#DIV/0!</v>
      </c>
      <c r="M1752" t="e">
        <v>#DIV/0!</v>
      </c>
      <c r="T1752">
        <v>1.125</v>
      </c>
    </row>
    <row r="1753" spans="1:20" x14ac:dyDescent="0.3">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x14ac:dyDescent="0.3">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x14ac:dyDescent="0.3">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x14ac:dyDescent="0.3">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3553</v>
      </c>
      <c r="B1767" s="171" t="s">
        <v>3554</v>
      </c>
      <c r="C1767" s="171" t="s">
        <v>116</v>
      </c>
      <c r="D1767" s="171" t="s">
        <v>80</v>
      </c>
      <c r="E1767" s="11">
        <v>41518</v>
      </c>
      <c r="H1767" t="e">
        <v>#DIV/0!</v>
      </c>
      <c r="K1767" t="e">
        <v>#DIV/0!</v>
      </c>
      <c r="M1767" t="e">
        <v>#DIV/0!</v>
      </c>
      <c r="R1767" t="e">
        <v>#DIV/0!</v>
      </c>
    </row>
    <row r="1768" spans="1:20" x14ac:dyDescent="0.3">
      <c r="A1768" t="s">
        <v>3555</v>
      </c>
      <c r="B1768" s="171" t="s">
        <v>3556</v>
      </c>
      <c r="C1768" s="171" t="s">
        <v>119</v>
      </c>
      <c r="D1768" s="171" t="s">
        <v>80</v>
      </c>
      <c r="E1768" s="11">
        <v>41518</v>
      </c>
      <c r="H1768" t="e">
        <v>#DIV/0!</v>
      </c>
      <c r="K1768" t="e">
        <v>#DIV/0!</v>
      </c>
      <c r="M1768" t="e">
        <v>#DIV/0!</v>
      </c>
      <c r="R1768" t="e">
        <v>#DIV/0!</v>
      </c>
      <c r="T1768">
        <v>0.92500000000000004</v>
      </c>
    </row>
    <row r="1769" spans="1:20" x14ac:dyDescent="0.3">
      <c r="A1769" t="s">
        <v>3557</v>
      </c>
      <c r="B1769" s="171" t="s">
        <v>3558</v>
      </c>
      <c r="C1769" s="171" t="s">
        <v>122</v>
      </c>
      <c r="D1769" s="171" t="s">
        <v>4</v>
      </c>
      <c r="E1769" s="11">
        <v>41518</v>
      </c>
      <c r="H1769" t="e">
        <v>#DIV/0!</v>
      </c>
      <c r="K1769" t="e">
        <v>#DIV/0!</v>
      </c>
      <c r="M1769" t="e">
        <v>#DIV/0!</v>
      </c>
      <c r="R1769" t="e">
        <v>#DIV/0!</v>
      </c>
      <c r="T1769">
        <v>0.95</v>
      </c>
    </row>
    <row r="1770" spans="1:20" x14ac:dyDescent="0.3">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3565</v>
      </c>
      <c r="B1773" s="171" t="s">
        <v>3566</v>
      </c>
      <c r="C1773" s="171" t="s">
        <v>134</v>
      </c>
      <c r="D1773" s="171" t="s">
        <v>80</v>
      </c>
      <c r="E1773" s="11">
        <v>41518</v>
      </c>
      <c r="H1773" t="e">
        <v>#DIV/0!</v>
      </c>
      <c r="K1773" t="e">
        <v>#DIV/0!</v>
      </c>
      <c r="M1773" t="e">
        <v>#DIV/0!</v>
      </c>
      <c r="R1773" t="e">
        <v>#DIV/0!</v>
      </c>
    </row>
    <row r="1774" spans="1:20" x14ac:dyDescent="0.3">
      <c r="A1774" t="s">
        <v>3567</v>
      </c>
      <c r="B1774" s="171" t="s">
        <v>3568</v>
      </c>
      <c r="C1774" s="171" t="s">
        <v>137</v>
      </c>
      <c r="D1774" s="171" t="s">
        <v>4</v>
      </c>
      <c r="E1774" s="11">
        <v>41518</v>
      </c>
      <c r="H1774" t="e">
        <v>#DIV/0!</v>
      </c>
      <c r="K1774" t="e">
        <v>#DIV/0!</v>
      </c>
      <c r="M1774" t="e">
        <v>#DIV/0!</v>
      </c>
      <c r="R1774" t="e">
        <v>#DIV/0!</v>
      </c>
    </row>
    <row r="1775" spans="1:20" x14ac:dyDescent="0.3">
      <c r="A1775" t="s">
        <v>3569</v>
      </c>
      <c r="B1775" s="171" t="s">
        <v>3570</v>
      </c>
      <c r="C1775" s="171" t="s">
        <v>140</v>
      </c>
      <c r="D1775" s="171" t="s">
        <v>80</v>
      </c>
      <c r="E1775" s="11">
        <v>41518</v>
      </c>
      <c r="H1775" t="e">
        <v>#DIV/0!</v>
      </c>
      <c r="K1775" t="e">
        <v>#DIV/0!</v>
      </c>
      <c r="M1775" t="e">
        <v>#DIV/0!</v>
      </c>
      <c r="R1775" t="e">
        <v>#DIV/0!</v>
      </c>
      <c r="T1775">
        <v>0.5714285714285714</v>
      </c>
    </row>
    <row r="1776" spans="1:20" x14ac:dyDescent="0.3">
      <c r="A1776" t="s">
        <v>3571</v>
      </c>
      <c r="B1776" s="171" t="s">
        <v>3572</v>
      </c>
      <c r="C1776" s="171" t="s">
        <v>143</v>
      </c>
      <c r="D1776" s="171" t="s">
        <v>80</v>
      </c>
      <c r="E1776" s="11">
        <v>41518</v>
      </c>
      <c r="H1776" t="e">
        <v>#DIV/0!</v>
      </c>
      <c r="K1776" t="e">
        <v>#DIV/0!</v>
      </c>
      <c r="M1776" t="e">
        <v>#DIV/0!</v>
      </c>
      <c r="N1776">
        <v>0</v>
      </c>
      <c r="R1776" t="e">
        <v>#DIV/0!</v>
      </c>
    </row>
    <row r="1777" spans="1:20" x14ac:dyDescent="0.3">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3575</v>
      </c>
      <c r="B1778" s="171" t="s">
        <v>3576</v>
      </c>
      <c r="C1778" s="171" t="s">
        <v>149</v>
      </c>
      <c r="D1778" s="171" t="s">
        <v>80</v>
      </c>
      <c r="E1778" s="11">
        <v>41518</v>
      </c>
    </row>
    <row r="1779" spans="1:20" x14ac:dyDescent="0.3">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x14ac:dyDescent="0.3">
      <c r="A1781" t="s">
        <v>3581</v>
      </c>
      <c r="B1781" s="171" t="s">
        <v>3582</v>
      </c>
      <c r="C1781" s="171" t="s">
        <v>158</v>
      </c>
      <c r="D1781" s="171" t="s">
        <v>80</v>
      </c>
      <c r="E1781" s="11">
        <v>41518</v>
      </c>
      <c r="H1781" t="e">
        <v>#DIV/0!</v>
      </c>
      <c r="K1781" t="e">
        <v>#DIV/0!</v>
      </c>
      <c r="M1781" t="e">
        <v>#DIV/0!</v>
      </c>
      <c r="T1781">
        <v>0.67900000000000005</v>
      </c>
    </row>
    <row r="1782" spans="1:20" x14ac:dyDescent="0.3">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x14ac:dyDescent="0.3">
      <c r="A1784" t="s">
        <v>3587</v>
      </c>
      <c r="B1784" s="171" t="s">
        <v>3588</v>
      </c>
      <c r="C1784" s="171" t="s">
        <v>167</v>
      </c>
      <c r="D1784" s="171" t="s">
        <v>4</v>
      </c>
      <c r="E1784" s="11">
        <v>41518</v>
      </c>
      <c r="H1784" t="e">
        <v>#DIV/0!</v>
      </c>
      <c r="K1784" t="e">
        <v>#DIV/0!</v>
      </c>
      <c r="M1784" t="e">
        <v>#DIV/0!</v>
      </c>
      <c r="R1784" t="e">
        <v>#DIV/0!</v>
      </c>
      <c r="T1784">
        <v>0</v>
      </c>
    </row>
    <row r="1785" spans="1:20" x14ac:dyDescent="0.3">
      <c r="A1785" t="s">
        <v>3589</v>
      </c>
      <c r="B1785" s="171" t="s">
        <v>3590</v>
      </c>
      <c r="C1785" s="171" t="s">
        <v>170</v>
      </c>
      <c r="D1785" s="171" t="s">
        <v>80</v>
      </c>
      <c r="E1785" s="11">
        <v>41518</v>
      </c>
      <c r="H1785" t="e">
        <v>#DIV/0!</v>
      </c>
      <c r="K1785" t="e">
        <v>#DIV/0!</v>
      </c>
      <c r="M1785" t="e">
        <v>#DIV/0!</v>
      </c>
      <c r="R1785" t="e">
        <v>#DIV/0!</v>
      </c>
      <c r="T1785">
        <v>0.92063492063492069</v>
      </c>
    </row>
    <row r="1786" spans="1:20" x14ac:dyDescent="0.3">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3595</v>
      </c>
      <c r="B1788" s="171" t="s">
        <v>3596</v>
      </c>
      <c r="C1788" s="171" t="s">
        <v>179</v>
      </c>
      <c r="D1788" s="171" t="s">
        <v>4</v>
      </c>
      <c r="E1788" s="11">
        <v>41518</v>
      </c>
      <c r="H1788" t="e">
        <v>#DIV/0!</v>
      </c>
      <c r="K1788" t="e">
        <v>#DIV/0!</v>
      </c>
      <c r="M1788" t="e">
        <v>#DIV/0!</v>
      </c>
      <c r="R1788" t="e">
        <v>#DIV/0!</v>
      </c>
      <c r="T1788">
        <v>0.71699999999999997</v>
      </c>
    </row>
    <row r="1789" spans="1:20" x14ac:dyDescent="0.3">
      <c r="A1789" t="s">
        <v>3597</v>
      </c>
      <c r="B1789" s="171" t="s">
        <v>3598</v>
      </c>
      <c r="C1789" s="171" t="s">
        <v>182</v>
      </c>
      <c r="D1789" s="171" t="s">
        <v>80</v>
      </c>
      <c r="E1789" s="11">
        <v>41518</v>
      </c>
      <c r="H1789" t="e">
        <v>#DIV/0!</v>
      </c>
      <c r="K1789" t="e">
        <v>#DIV/0!</v>
      </c>
      <c r="M1789" t="e">
        <v>#DIV/0!</v>
      </c>
      <c r="R1789" t="e">
        <v>#DIV/0!</v>
      </c>
      <c r="T1789">
        <v>0.97857142857142865</v>
      </c>
    </row>
    <row r="1790" spans="1:20" x14ac:dyDescent="0.3">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3607</v>
      </c>
      <c r="B1794" s="171" t="s">
        <v>3608</v>
      </c>
      <c r="C1794" s="171" t="s">
        <v>197</v>
      </c>
      <c r="D1794" s="171" t="s">
        <v>80</v>
      </c>
      <c r="E1794" s="11">
        <v>41518</v>
      </c>
      <c r="H1794" t="e">
        <v>#DIV/0!</v>
      </c>
      <c r="K1794" t="e">
        <v>#DIV/0!</v>
      </c>
      <c r="M1794" t="e">
        <v>#DIV/0!</v>
      </c>
      <c r="R1794" t="e">
        <v>#DIV/0!</v>
      </c>
    </row>
    <row r="1795" spans="1:20" x14ac:dyDescent="0.3">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x14ac:dyDescent="0.3">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x14ac:dyDescent="0.3">
      <c r="A1798" t="s">
        <v>3615</v>
      </c>
      <c r="B1798" s="171" t="s">
        <v>3616</v>
      </c>
      <c r="C1798" s="171" t="s">
        <v>209</v>
      </c>
      <c r="D1798" s="171" t="s">
        <v>80</v>
      </c>
      <c r="E1798" s="11">
        <v>41518</v>
      </c>
      <c r="H1798" t="e">
        <v>#DIV/0!</v>
      </c>
      <c r="K1798" t="e">
        <v>#DIV/0!</v>
      </c>
      <c r="M1798" t="e">
        <v>#DIV/0!</v>
      </c>
      <c r="R1798" t="e">
        <v>#DIV/0!</v>
      </c>
    </row>
    <row r="1799" spans="1:20" x14ac:dyDescent="0.3">
      <c r="A1799" t="s">
        <v>3617</v>
      </c>
      <c r="B1799" s="171" t="s">
        <v>3618</v>
      </c>
      <c r="C1799" s="171" t="s">
        <v>212</v>
      </c>
      <c r="D1799" s="171" t="s">
        <v>4</v>
      </c>
      <c r="E1799" s="11">
        <v>41518</v>
      </c>
      <c r="H1799" t="e">
        <v>#DIV/0!</v>
      </c>
      <c r="K1799" t="e">
        <v>#DIV/0!</v>
      </c>
      <c r="M1799" t="e">
        <v>#DIV/0!</v>
      </c>
      <c r="R1799" t="e">
        <v>#DIV/0!</v>
      </c>
      <c r="T1799">
        <v>1.2727272727272727</v>
      </c>
    </row>
    <row r="1800" spans="1:20" x14ac:dyDescent="0.3">
      <c r="A1800" t="s">
        <v>3619</v>
      </c>
      <c r="B1800" s="171" t="s">
        <v>3620</v>
      </c>
      <c r="C1800" s="171" t="s">
        <v>215</v>
      </c>
      <c r="D1800" s="171" t="s">
        <v>4</v>
      </c>
      <c r="E1800" s="11">
        <v>41518</v>
      </c>
      <c r="H1800" t="e">
        <v>#DIV/0!</v>
      </c>
      <c r="K1800" t="e">
        <v>#DIV/0!</v>
      </c>
      <c r="M1800" t="e">
        <v>#DIV/0!</v>
      </c>
      <c r="R1800" t="e">
        <v>#DIV/0!</v>
      </c>
      <c r="T1800">
        <v>1.2</v>
      </c>
    </row>
    <row r="1801" spans="1:20" x14ac:dyDescent="0.3">
      <c r="A1801" t="s">
        <v>3621</v>
      </c>
      <c r="B1801" s="171" t="s">
        <v>3622</v>
      </c>
      <c r="C1801" s="171" t="s">
        <v>218</v>
      </c>
      <c r="D1801" s="171" t="s">
        <v>80</v>
      </c>
      <c r="E1801" s="11">
        <v>41518</v>
      </c>
      <c r="H1801" t="e">
        <v>#DIV/0!</v>
      </c>
      <c r="K1801" t="e">
        <v>#DIV/0!</v>
      </c>
      <c r="M1801" t="e">
        <v>#DIV/0!</v>
      </c>
      <c r="R1801" t="e">
        <v>#DIV/0!</v>
      </c>
      <c r="T1801">
        <v>1</v>
      </c>
    </row>
    <row r="1802" spans="1:20" x14ac:dyDescent="0.3">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x14ac:dyDescent="0.3">
      <c r="A1803" t="s">
        <v>3625</v>
      </c>
      <c r="B1803" s="171" t="s">
        <v>3626</v>
      </c>
      <c r="C1803" s="171" t="s">
        <v>224</v>
      </c>
      <c r="D1803" s="171" t="s">
        <v>80</v>
      </c>
      <c r="E1803" s="11">
        <v>41518</v>
      </c>
      <c r="F1803">
        <v>0</v>
      </c>
      <c r="G1803">
        <v>0</v>
      </c>
      <c r="I1803">
        <v>0</v>
      </c>
      <c r="J1803">
        <v>0</v>
      </c>
      <c r="L1803">
        <v>0</v>
      </c>
    </row>
    <row r="1804" spans="1:20" x14ac:dyDescent="0.3">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x14ac:dyDescent="0.3">
      <c r="A1805" t="s">
        <v>3629</v>
      </c>
      <c r="B1805" s="171" t="s">
        <v>3630</v>
      </c>
      <c r="C1805" s="171" t="s">
        <v>230</v>
      </c>
      <c r="D1805" s="171" t="s">
        <v>80</v>
      </c>
      <c r="E1805" s="11">
        <v>41518</v>
      </c>
    </row>
    <row r="1806" spans="1:20" x14ac:dyDescent="0.3">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3657</v>
      </c>
      <c r="B1819" s="171" t="s">
        <v>3658</v>
      </c>
      <c r="C1819" s="171" t="s">
        <v>116</v>
      </c>
      <c r="D1819" s="171" t="s">
        <v>4</v>
      </c>
      <c r="E1819" s="11">
        <v>41518</v>
      </c>
      <c r="H1819" t="e">
        <v>#DIV/0!</v>
      </c>
      <c r="K1819" t="e">
        <v>#DIV/0!</v>
      </c>
      <c r="M1819" t="e">
        <v>#DIV/0!</v>
      </c>
      <c r="R1819" t="e">
        <v>#DIV/0!</v>
      </c>
      <c r="T1819">
        <v>0.94444444444444442</v>
      </c>
    </row>
    <row r="1820" spans="1:20" x14ac:dyDescent="0.3">
      <c r="A1820" t="s">
        <v>3659</v>
      </c>
      <c r="B1820" s="171" t="s">
        <v>3660</v>
      </c>
      <c r="C1820" s="171" t="s">
        <v>119</v>
      </c>
      <c r="D1820" s="171" t="s">
        <v>4</v>
      </c>
      <c r="E1820" s="11">
        <v>41518</v>
      </c>
      <c r="H1820" t="e">
        <v>#DIV/0!</v>
      </c>
      <c r="K1820" t="e">
        <v>#DIV/0!</v>
      </c>
      <c r="M1820" t="e">
        <v>#DIV/0!</v>
      </c>
      <c r="R1820" t="e">
        <v>#DIV/0!</v>
      </c>
      <c r="T1820">
        <v>0.94444444444444442</v>
      </c>
    </row>
    <row r="1821" spans="1:20" x14ac:dyDescent="0.3">
      <c r="A1821" t="s">
        <v>3661</v>
      </c>
      <c r="B1821" s="171" t="s">
        <v>3662</v>
      </c>
      <c r="C1821" s="171" t="s">
        <v>122</v>
      </c>
      <c r="D1821" s="171" t="s">
        <v>80</v>
      </c>
      <c r="E1821" s="11">
        <v>41518</v>
      </c>
      <c r="H1821" t="e">
        <v>#DIV/0!</v>
      </c>
      <c r="K1821" t="e">
        <v>#DIV/0!</v>
      </c>
      <c r="M1821" t="e">
        <v>#DIV/0!</v>
      </c>
      <c r="R1821" t="e">
        <v>#DIV/0!</v>
      </c>
      <c r="T1821">
        <v>1.2666666666666666</v>
      </c>
    </row>
    <row r="1822" spans="1:20" x14ac:dyDescent="0.3">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3669</v>
      </c>
      <c r="B1825" s="171" t="s">
        <v>3670</v>
      </c>
      <c r="C1825" s="171" t="s">
        <v>134</v>
      </c>
      <c r="D1825" s="171" t="s">
        <v>4</v>
      </c>
      <c r="E1825" s="11">
        <v>41518</v>
      </c>
      <c r="H1825" t="e">
        <v>#DIV/0!</v>
      </c>
      <c r="K1825" t="e">
        <v>#DIV/0!</v>
      </c>
      <c r="M1825" t="e">
        <v>#DIV/0!</v>
      </c>
      <c r="R1825" t="e">
        <v>#DIV/0!</v>
      </c>
      <c r="T1825">
        <v>0.88888888888888884</v>
      </c>
    </row>
    <row r="1826" spans="1:20" x14ac:dyDescent="0.3">
      <c r="A1826" t="s">
        <v>3671</v>
      </c>
      <c r="B1826" s="171" t="s">
        <v>3672</v>
      </c>
      <c r="C1826" s="171" t="s">
        <v>137</v>
      </c>
      <c r="D1826" s="171" t="s">
        <v>80</v>
      </c>
      <c r="E1826" s="11">
        <v>41518</v>
      </c>
      <c r="H1826" t="e">
        <v>#DIV/0!</v>
      </c>
      <c r="K1826" t="e">
        <v>#DIV/0!</v>
      </c>
      <c r="M1826" t="e">
        <v>#DIV/0!</v>
      </c>
      <c r="R1826" t="e">
        <v>#DIV/0!</v>
      </c>
      <c r="T1826">
        <v>0.9</v>
      </c>
    </row>
    <row r="1827" spans="1:20" x14ac:dyDescent="0.3">
      <c r="A1827" t="s">
        <v>3673</v>
      </c>
      <c r="B1827" s="171" t="s">
        <v>3674</v>
      </c>
      <c r="C1827" s="171" t="s">
        <v>140</v>
      </c>
      <c r="D1827" s="171" t="s">
        <v>4</v>
      </c>
      <c r="E1827" s="11">
        <v>41518</v>
      </c>
      <c r="H1827" t="e">
        <v>#DIV/0!</v>
      </c>
      <c r="K1827" t="e">
        <v>#DIV/0!</v>
      </c>
      <c r="M1827" t="e">
        <v>#DIV/0!</v>
      </c>
      <c r="R1827" t="e">
        <v>#DIV/0!</v>
      </c>
    </row>
    <row r="1828" spans="1:20" x14ac:dyDescent="0.3">
      <c r="A1828" t="s">
        <v>3675</v>
      </c>
      <c r="B1828" s="171" t="s">
        <v>3676</v>
      </c>
      <c r="C1828" s="171" t="s">
        <v>167</v>
      </c>
      <c r="D1828" s="171" t="s">
        <v>80</v>
      </c>
      <c r="E1828" s="11">
        <v>41518</v>
      </c>
      <c r="H1828" t="e">
        <v>#DIV/0!</v>
      </c>
      <c r="K1828" t="e">
        <v>#DIV/0!</v>
      </c>
      <c r="M1828" t="e">
        <v>#DIV/0!</v>
      </c>
      <c r="R1828" t="e">
        <v>#DIV/0!</v>
      </c>
    </row>
    <row r="1829" spans="1:20" x14ac:dyDescent="0.3">
      <c r="A1829" t="s">
        <v>3677</v>
      </c>
      <c r="B1829" s="171" t="s">
        <v>3678</v>
      </c>
      <c r="C1829" s="171" t="s">
        <v>170</v>
      </c>
      <c r="D1829" s="171" t="s">
        <v>4</v>
      </c>
      <c r="E1829" s="11">
        <v>41518</v>
      </c>
      <c r="H1829" t="e">
        <v>#DIV/0!</v>
      </c>
      <c r="K1829" t="e">
        <v>#DIV/0!</v>
      </c>
      <c r="M1829" t="e">
        <v>#DIV/0!</v>
      </c>
      <c r="R1829" t="e">
        <v>#DIV/0!</v>
      </c>
    </row>
    <row r="1830" spans="1:20" x14ac:dyDescent="0.3">
      <c r="A1830" t="s">
        <v>3679</v>
      </c>
      <c r="B1830" s="171" t="s">
        <v>3680</v>
      </c>
      <c r="C1830" s="171" t="s">
        <v>179</v>
      </c>
      <c r="D1830" s="171" t="s">
        <v>80</v>
      </c>
      <c r="E1830" s="11">
        <v>41518</v>
      </c>
      <c r="H1830" t="e">
        <v>#DIV/0!</v>
      </c>
      <c r="K1830" t="e">
        <v>#DIV/0!</v>
      </c>
      <c r="M1830" t="e">
        <v>#DIV/0!</v>
      </c>
      <c r="R1830" t="e">
        <v>#DIV/0!</v>
      </c>
    </row>
    <row r="1831" spans="1:20" x14ac:dyDescent="0.3">
      <c r="A1831" t="s">
        <v>3681</v>
      </c>
      <c r="B1831" s="171" t="s">
        <v>3682</v>
      </c>
      <c r="C1831" s="171" t="s">
        <v>182</v>
      </c>
      <c r="D1831" s="171" t="s">
        <v>4</v>
      </c>
      <c r="E1831" s="11">
        <v>41518</v>
      </c>
      <c r="H1831" t="e">
        <v>#DIV/0!</v>
      </c>
      <c r="K1831" t="e">
        <v>#DIV/0!</v>
      </c>
      <c r="M1831" t="e">
        <v>#DIV/0!</v>
      </c>
      <c r="R1831" t="e">
        <v>#DIV/0!</v>
      </c>
      <c r="T1831">
        <v>0.5714285714285714</v>
      </c>
    </row>
    <row r="1832" spans="1:20" x14ac:dyDescent="0.3">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3691</v>
      </c>
      <c r="B1836" s="171" t="s">
        <v>3692</v>
      </c>
      <c r="C1836" s="171" t="s">
        <v>197</v>
      </c>
      <c r="D1836" s="171" t="s">
        <v>4</v>
      </c>
      <c r="E1836" s="11">
        <v>41518</v>
      </c>
      <c r="H1836" t="e">
        <v>#DIV/0!</v>
      </c>
      <c r="K1836" t="e">
        <v>#DIV/0!</v>
      </c>
      <c r="M1836" t="e">
        <v>#DIV/0!</v>
      </c>
      <c r="R1836" t="e">
        <v>#DIV/0!</v>
      </c>
      <c r="T1836">
        <v>0.83299999999999996</v>
      </c>
    </row>
    <row r="1837" spans="1:20" x14ac:dyDescent="0.3">
      <c r="A1837" t="s">
        <v>3693</v>
      </c>
      <c r="B1837" s="171" t="s">
        <v>3694</v>
      </c>
      <c r="C1837" s="171" t="s">
        <v>209</v>
      </c>
      <c r="D1837" s="171" t="s">
        <v>4</v>
      </c>
      <c r="E1837" s="11">
        <v>41518</v>
      </c>
      <c r="H1837" t="e">
        <v>#DIV/0!</v>
      </c>
      <c r="K1837" t="e">
        <v>#DIV/0!</v>
      </c>
      <c r="M1837" t="e">
        <v>#DIV/0!</v>
      </c>
      <c r="R1837" t="e">
        <v>#DIV/0!</v>
      </c>
      <c r="T1837">
        <v>0.71699999999999997</v>
      </c>
    </row>
    <row r="1838" spans="1:20" x14ac:dyDescent="0.3">
      <c r="A1838" t="s">
        <v>3695</v>
      </c>
      <c r="B1838" s="171" t="s">
        <v>3696</v>
      </c>
      <c r="C1838" s="171" t="s">
        <v>212</v>
      </c>
      <c r="D1838" s="171" t="s">
        <v>80</v>
      </c>
      <c r="E1838" s="11">
        <v>41518</v>
      </c>
      <c r="H1838" t="e">
        <v>#DIV/0!</v>
      </c>
      <c r="K1838" t="e">
        <v>#DIV/0!</v>
      </c>
      <c r="M1838" t="e">
        <v>#DIV/0!</v>
      </c>
      <c r="R1838" t="e">
        <v>#DIV/0!</v>
      </c>
    </row>
    <row r="1839" spans="1:20" x14ac:dyDescent="0.3">
      <c r="A1839" t="s">
        <v>3697</v>
      </c>
      <c r="B1839" s="171" t="s">
        <v>3698</v>
      </c>
      <c r="C1839" s="171" t="s">
        <v>215</v>
      </c>
      <c r="D1839" s="171" t="s">
        <v>80</v>
      </c>
      <c r="E1839" s="11">
        <v>41518</v>
      </c>
      <c r="H1839" t="e">
        <v>#DIV/0!</v>
      </c>
      <c r="K1839" t="e">
        <v>#DIV/0!</v>
      </c>
      <c r="M1839" t="e">
        <v>#DIV/0!</v>
      </c>
      <c r="R1839" t="e">
        <v>#DIV/0!</v>
      </c>
    </row>
    <row r="1840" spans="1:20" x14ac:dyDescent="0.3">
      <c r="A1840" t="s">
        <v>3699</v>
      </c>
      <c r="B1840" s="171" t="s">
        <v>3700</v>
      </c>
      <c r="C1840" s="171" t="s">
        <v>218</v>
      </c>
      <c r="D1840" s="171" t="s">
        <v>4</v>
      </c>
      <c r="E1840" s="11">
        <v>41518</v>
      </c>
      <c r="H1840" t="e">
        <v>#DIV/0!</v>
      </c>
      <c r="K1840" t="e">
        <v>#DIV/0!</v>
      </c>
      <c r="M1840" t="e">
        <v>#DIV/0!</v>
      </c>
      <c r="R1840" t="e">
        <v>#DIV/0!</v>
      </c>
    </row>
    <row r="1841" spans="1:20" x14ac:dyDescent="0.3">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3707</v>
      </c>
      <c r="B1844" s="171" t="s">
        <v>3708</v>
      </c>
      <c r="C1844" s="171" t="s">
        <v>143</v>
      </c>
      <c r="D1844" s="171" t="s">
        <v>4</v>
      </c>
      <c r="E1844" s="11">
        <v>41518</v>
      </c>
      <c r="H1844" t="e">
        <v>#DIV/0!</v>
      </c>
      <c r="K1844" t="e">
        <v>#DIV/0!</v>
      </c>
      <c r="M1844" t="e">
        <v>#DIV/0!</v>
      </c>
      <c r="N1844">
        <v>0</v>
      </c>
      <c r="R1844" t="e">
        <v>#DIV/0!</v>
      </c>
      <c r="T1844">
        <v>0.74</v>
      </c>
    </row>
    <row r="1845" spans="1:20" x14ac:dyDescent="0.3">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3711</v>
      </c>
      <c r="B1846" s="171" t="s">
        <v>3712</v>
      </c>
      <c r="C1846" s="171" t="s">
        <v>149</v>
      </c>
      <c r="D1846" s="171" t="s">
        <v>4</v>
      </c>
      <c r="E1846" s="11">
        <v>41518</v>
      </c>
      <c r="T1846">
        <v>0.91217948717948727</v>
      </c>
    </row>
    <row r="1847" spans="1:20" x14ac:dyDescent="0.3">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x14ac:dyDescent="0.3">
      <c r="A1849" t="s">
        <v>3717</v>
      </c>
      <c r="B1849" s="171" t="s">
        <v>3718</v>
      </c>
      <c r="C1849" s="171" t="s">
        <v>158</v>
      </c>
      <c r="D1849" s="171" t="s">
        <v>4</v>
      </c>
      <c r="E1849" s="11">
        <v>41518</v>
      </c>
      <c r="H1849" t="e">
        <v>#DIV/0!</v>
      </c>
      <c r="K1849" t="e">
        <v>#DIV/0!</v>
      </c>
      <c r="M1849" t="e">
        <v>#DIV/0!</v>
      </c>
      <c r="T1849">
        <v>0.84</v>
      </c>
    </row>
    <row r="1850" spans="1:20" x14ac:dyDescent="0.3">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x14ac:dyDescent="0.3">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x14ac:dyDescent="0.3">
      <c r="A1853" t="s">
        <v>3725</v>
      </c>
      <c r="B1853" s="171" t="s">
        <v>3726</v>
      </c>
      <c r="C1853" s="171" t="s">
        <v>224</v>
      </c>
      <c r="D1853" s="171" t="s">
        <v>4</v>
      </c>
      <c r="E1853" s="11">
        <v>41518</v>
      </c>
      <c r="F1853">
        <v>0</v>
      </c>
      <c r="G1853">
        <v>0</v>
      </c>
      <c r="I1853">
        <v>0</v>
      </c>
      <c r="J1853">
        <v>0</v>
      </c>
      <c r="L1853">
        <v>0</v>
      </c>
    </row>
    <row r="1854" spans="1:20" x14ac:dyDescent="0.3">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x14ac:dyDescent="0.3">
      <c r="A1855" t="s">
        <v>3729</v>
      </c>
      <c r="B1855" s="171" t="s">
        <v>3730</v>
      </c>
      <c r="C1855" s="171" t="s">
        <v>230</v>
      </c>
      <c r="D1855" s="171" t="s">
        <v>4</v>
      </c>
      <c r="E1855" s="11">
        <v>41518</v>
      </c>
      <c r="T1855">
        <v>1.0249999999999999</v>
      </c>
    </row>
    <row r="1856" spans="1:20" x14ac:dyDescent="0.3">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x14ac:dyDescent="0.3">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x14ac:dyDescent="0.3">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x14ac:dyDescent="0.3">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3759</v>
      </c>
      <c r="B1870" s="171" t="s">
        <v>3760</v>
      </c>
      <c r="C1870" s="171" t="s">
        <v>116</v>
      </c>
      <c r="D1870" s="171" t="s">
        <v>80</v>
      </c>
      <c r="E1870" s="11">
        <v>41548</v>
      </c>
      <c r="H1870" t="e">
        <v>#DIV/0!</v>
      </c>
      <c r="K1870" t="e">
        <v>#DIV/0!</v>
      </c>
      <c r="M1870" t="e">
        <v>#DIV/0!</v>
      </c>
      <c r="R1870" t="e">
        <v>#DIV/0!</v>
      </c>
    </row>
    <row r="1871" spans="1:20" x14ac:dyDescent="0.3">
      <c r="A1871" t="s">
        <v>3761</v>
      </c>
      <c r="B1871" s="171" t="s">
        <v>3762</v>
      </c>
      <c r="C1871" s="171" t="s">
        <v>119</v>
      </c>
      <c r="D1871" s="171" t="s">
        <v>80</v>
      </c>
      <c r="E1871" s="11">
        <v>41548</v>
      </c>
      <c r="H1871" t="e">
        <v>#DIV/0!</v>
      </c>
      <c r="K1871" t="e">
        <v>#DIV/0!</v>
      </c>
      <c r="M1871" t="e">
        <v>#DIV/0!</v>
      </c>
      <c r="R1871" t="e">
        <v>#DIV/0!</v>
      </c>
    </row>
    <row r="1872" spans="1:20" x14ac:dyDescent="0.3">
      <c r="A1872" t="s">
        <v>3763</v>
      </c>
      <c r="B1872" s="171" t="s">
        <v>3764</v>
      </c>
      <c r="C1872" s="171" t="s">
        <v>122</v>
      </c>
      <c r="D1872" s="171" t="s">
        <v>4</v>
      </c>
      <c r="E1872" s="11">
        <v>41548</v>
      </c>
      <c r="H1872" t="e">
        <v>#DIV/0!</v>
      </c>
      <c r="K1872" t="e">
        <v>#DIV/0!</v>
      </c>
      <c r="M1872" t="e">
        <v>#DIV/0!</v>
      </c>
      <c r="R1872" t="e">
        <v>#DIV/0!</v>
      </c>
      <c r="T1872">
        <v>0.79166666666666663</v>
      </c>
    </row>
    <row r="1873" spans="1:20" x14ac:dyDescent="0.3">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3771</v>
      </c>
      <c r="B1876" s="171" t="s">
        <v>3772</v>
      </c>
      <c r="C1876" s="171" t="s">
        <v>134</v>
      </c>
      <c r="D1876" s="171" t="s">
        <v>80</v>
      </c>
      <c r="E1876" s="11">
        <v>41548</v>
      </c>
      <c r="H1876" t="e">
        <v>#DIV/0!</v>
      </c>
      <c r="K1876" t="e">
        <v>#DIV/0!</v>
      </c>
      <c r="M1876" t="e">
        <v>#DIV/0!</v>
      </c>
      <c r="R1876" t="e">
        <v>#DIV/0!</v>
      </c>
    </row>
    <row r="1877" spans="1:20" x14ac:dyDescent="0.3">
      <c r="A1877" t="s">
        <v>3773</v>
      </c>
      <c r="B1877" s="171" t="s">
        <v>3774</v>
      </c>
      <c r="C1877" s="171" t="s">
        <v>137</v>
      </c>
      <c r="D1877" s="171" t="s">
        <v>4</v>
      </c>
      <c r="E1877" s="11">
        <v>41548</v>
      </c>
      <c r="H1877" t="e">
        <v>#DIV/0!</v>
      </c>
      <c r="K1877" t="e">
        <v>#DIV/0!</v>
      </c>
      <c r="M1877" t="e">
        <v>#DIV/0!</v>
      </c>
      <c r="R1877" t="e">
        <v>#DIV/0!</v>
      </c>
      <c r="T1877">
        <v>0.65833333333333333</v>
      </c>
    </row>
    <row r="1878" spans="1:20" x14ac:dyDescent="0.3">
      <c r="A1878" t="s">
        <v>3775</v>
      </c>
      <c r="B1878" s="171" t="s">
        <v>3776</v>
      </c>
      <c r="C1878" s="171" t="s">
        <v>140</v>
      </c>
      <c r="D1878" s="171" t="s">
        <v>80</v>
      </c>
      <c r="E1878" s="11">
        <v>41548</v>
      </c>
      <c r="H1878" t="e">
        <v>#DIV/0!</v>
      </c>
      <c r="K1878" t="e">
        <v>#DIV/0!</v>
      </c>
      <c r="M1878" t="e">
        <v>#DIV/0!</v>
      </c>
      <c r="R1878" t="e">
        <v>#DIV/0!</v>
      </c>
      <c r="T1878">
        <v>0.41666666666666669</v>
      </c>
    </row>
    <row r="1879" spans="1:20" x14ac:dyDescent="0.3">
      <c r="A1879" t="s">
        <v>3777</v>
      </c>
      <c r="B1879" s="171" t="s">
        <v>3778</v>
      </c>
      <c r="C1879" s="171" t="s">
        <v>143</v>
      </c>
      <c r="D1879" s="171" t="s">
        <v>80</v>
      </c>
      <c r="E1879" s="11">
        <v>41548</v>
      </c>
      <c r="H1879" t="e">
        <v>#DIV/0!</v>
      </c>
      <c r="K1879" t="e">
        <v>#DIV/0!</v>
      </c>
      <c r="M1879" t="e">
        <v>#DIV/0!</v>
      </c>
      <c r="N1879">
        <v>0</v>
      </c>
      <c r="R1879" t="e">
        <v>#DIV/0!</v>
      </c>
      <c r="T1879">
        <v>0.9</v>
      </c>
    </row>
    <row r="1880" spans="1:20" x14ac:dyDescent="0.3">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3781</v>
      </c>
      <c r="B1881" s="171" t="s">
        <v>3782</v>
      </c>
      <c r="C1881" s="171" t="s">
        <v>149</v>
      </c>
      <c r="D1881" s="171" t="s">
        <v>80</v>
      </c>
      <c r="E1881" s="11">
        <v>41548</v>
      </c>
    </row>
    <row r="1882" spans="1:20" x14ac:dyDescent="0.3">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3785</v>
      </c>
      <c r="B1883" s="171" t="s">
        <v>3786</v>
      </c>
      <c r="C1883" s="171" t="s">
        <v>155</v>
      </c>
      <c r="D1883" s="171" t="s">
        <v>80</v>
      </c>
      <c r="E1883" s="11">
        <v>41548</v>
      </c>
      <c r="F1883">
        <v>2</v>
      </c>
      <c r="G1883">
        <v>5</v>
      </c>
      <c r="H1883">
        <v>0.4</v>
      </c>
      <c r="J1883">
        <v>10</v>
      </c>
      <c r="K1883">
        <v>0</v>
      </c>
      <c r="L1883">
        <v>25</v>
      </c>
      <c r="M1883">
        <v>0.4</v>
      </c>
      <c r="R1883" t="e">
        <v>#DIV/0!</v>
      </c>
    </row>
    <row r="1884" spans="1:20" x14ac:dyDescent="0.3">
      <c r="A1884" t="s">
        <v>3787</v>
      </c>
      <c r="B1884" s="171" t="s">
        <v>3788</v>
      </c>
      <c r="C1884" s="171" t="s">
        <v>158</v>
      </c>
      <c r="D1884" s="171" t="s">
        <v>80</v>
      </c>
      <c r="E1884" s="11">
        <v>41548</v>
      </c>
      <c r="H1884" t="e">
        <v>#DIV/0!</v>
      </c>
      <c r="K1884" t="e">
        <v>#DIV/0!</v>
      </c>
      <c r="M1884" t="e">
        <v>#DIV/0!</v>
      </c>
      <c r="R1884" t="e">
        <v>#DIV/0!</v>
      </c>
      <c r="T1884">
        <v>1</v>
      </c>
    </row>
    <row r="1885" spans="1:20" x14ac:dyDescent="0.3">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x14ac:dyDescent="0.3">
      <c r="A1887" t="s">
        <v>3793</v>
      </c>
      <c r="B1887" s="171" t="s">
        <v>3794</v>
      </c>
      <c r="C1887" s="171" t="s">
        <v>167</v>
      </c>
      <c r="D1887" s="171" t="s">
        <v>4</v>
      </c>
      <c r="E1887" s="11">
        <v>41548</v>
      </c>
      <c r="H1887" t="e">
        <v>#DIV/0!</v>
      </c>
      <c r="K1887" t="e">
        <v>#DIV/0!</v>
      </c>
      <c r="M1887" t="e">
        <v>#DIV/0!</v>
      </c>
      <c r="R1887" t="e">
        <v>#DIV/0!</v>
      </c>
      <c r="T1887">
        <v>0.78649999999999998</v>
      </c>
    </row>
    <row r="1888" spans="1:20" x14ac:dyDescent="0.3">
      <c r="A1888" t="s">
        <v>3795</v>
      </c>
      <c r="B1888" s="171" t="s">
        <v>3796</v>
      </c>
      <c r="C1888" s="171" t="s">
        <v>170</v>
      </c>
      <c r="D1888" s="171" t="s">
        <v>80</v>
      </c>
      <c r="E1888" s="11">
        <v>41548</v>
      </c>
      <c r="H1888" t="e">
        <v>#DIV/0!</v>
      </c>
      <c r="K1888" t="e">
        <v>#DIV/0!</v>
      </c>
      <c r="M1888" t="e">
        <v>#DIV/0!</v>
      </c>
      <c r="R1888" t="e">
        <v>#DIV/0!</v>
      </c>
      <c r="T1888">
        <v>0.83299999999999996</v>
      </c>
    </row>
    <row r="1889" spans="1:20" x14ac:dyDescent="0.3">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x14ac:dyDescent="0.3">
      <c r="A1891" t="s">
        <v>3801</v>
      </c>
      <c r="B1891" s="171" t="s">
        <v>3802</v>
      </c>
      <c r="C1891" s="171" t="s">
        <v>179</v>
      </c>
      <c r="D1891" s="171" t="s">
        <v>4</v>
      </c>
      <c r="E1891" s="11">
        <v>41548</v>
      </c>
      <c r="H1891" t="e">
        <v>#DIV/0!</v>
      </c>
      <c r="K1891" t="e">
        <v>#DIV/0!</v>
      </c>
      <c r="M1891" t="e">
        <v>#DIV/0!</v>
      </c>
      <c r="R1891" t="e">
        <v>#DIV/0!</v>
      </c>
    </row>
    <row r="1892" spans="1:20" x14ac:dyDescent="0.3">
      <c r="A1892" t="s">
        <v>3803</v>
      </c>
      <c r="B1892" s="171" t="s">
        <v>3804</v>
      </c>
      <c r="C1892" s="171" t="s">
        <v>182</v>
      </c>
      <c r="D1892" s="171" t="s">
        <v>80</v>
      </c>
      <c r="E1892" s="11">
        <v>41548</v>
      </c>
      <c r="H1892" t="e">
        <v>#DIV/0!</v>
      </c>
      <c r="K1892" t="e">
        <v>#DIV/0!</v>
      </c>
      <c r="M1892" t="e">
        <v>#DIV/0!</v>
      </c>
      <c r="R1892" t="e">
        <v>#DIV/0!</v>
      </c>
    </row>
    <row r="1893" spans="1:20" x14ac:dyDescent="0.3">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3813</v>
      </c>
      <c r="B1897" s="171" t="s">
        <v>3814</v>
      </c>
      <c r="C1897" s="171" t="s">
        <v>197</v>
      </c>
      <c r="D1897" s="171" t="s">
        <v>80</v>
      </c>
      <c r="E1897" s="11">
        <v>41548</v>
      </c>
      <c r="H1897" t="e">
        <v>#DIV/0!</v>
      </c>
      <c r="K1897" t="e">
        <v>#DIV/0!</v>
      </c>
      <c r="M1897" t="e">
        <v>#DIV/0!</v>
      </c>
      <c r="R1897" t="e">
        <v>#DIV/0!</v>
      </c>
      <c r="T1897">
        <v>1.2250000000000001</v>
      </c>
    </row>
    <row r="1898" spans="1:20" x14ac:dyDescent="0.3">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x14ac:dyDescent="0.3">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3821</v>
      </c>
      <c r="B1901" s="171" t="s">
        <v>3822</v>
      </c>
      <c r="C1901" s="171" t="s">
        <v>209</v>
      </c>
      <c r="D1901" s="171" t="s">
        <v>80</v>
      </c>
      <c r="E1901" s="11">
        <v>41548</v>
      </c>
      <c r="H1901" t="e">
        <v>#DIV/0!</v>
      </c>
      <c r="K1901" t="e">
        <v>#DIV/0!</v>
      </c>
      <c r="M1901" t="e">
        <v>#DIV/0!</v>
      </c>
      <c r="R1901" t="e">
        <v>#DIV/0!</v>
      </c>
      <c r="T1901">
        <v>1.06</v>
      </c>
    </row>
    <row r="1902" spans="1:20" x14ac:dyDescent="0.3">
      <c r="A1902" t="s">
        <v>3823</v>
      </c>
      <c r="B1902" s="171" t="s">
        <v>3824</v>
      </c>
      <c r="C1902" s="171" t="s">
        <v>212</v>
      </c>
      <c r="D1902" s="171" t="s">
        <v>4</v>
      </c>
      <c r="E1902" s="11">
        <v>41548</v>
      </c>
      <c r="H1902" t="e">
        <v>#DIV/0!</v>
      </c>
      <c r="K1902" t="e">
        <v>#DIV/0!</v>
      </c>
      <c r="M1902" t="e">
        <v>#DIV/0!</v>
      </c>
      <c r="R1902" t="e">
        <v>#DIV/0!</v>
      </c>
      <c r="T1902">
        <v>0.9</v>
      </c>
    </row>
    <row r="1903" spans="1:20" x14ac:dyDescent="0.3">
      <c r="A1903" t="s">
        <v>3825</v>
      </c>
      <c r="B1903" s="171" t="s">
        <v>3826</v>
      </c>
      <c r="C1903" s="171" t="s">
        <v>215</v>
      </c>
      <c r="D1903" s="171" t="s">
        <v>4</v>
      </c>
      <c r="E1903" s="11">
        <v>41548</v>
      </c>
      <c r="H1903" t="e">
        <v>#DIV/0!</v>
      </c>
      <c r="K1903" t="e">
        <v>#DIV/0!</v>
      </c>
      <c r="M1903" t="e">
        <v>#DIV/0!</v>
      </c>
      <c r="R1903" t="e">
        <v>#DIV/0!</v>
      </c>
      <c r="T1903">
        <v>0.84615384615384615</v>
      </c>
    </row>
    <row r="1904" spans="1:20" x14ac:dyDescent="0.3">
      <c r="A1904" t="s">
        <v>3827</v>
      </c>
      <c r="B1904" s="171" t="s">
        <v>3828</v>
      </c>
      <c r="C1904" s="171" t="s">
        <v>218</v>
      </c>
      <c r="D1904" s="171" t="s">
        <v>80</v>
      </c>
      <c r="E1904" s="11">
        <v>41548</v>
      </c>
      <c r="H1904" t="e">
        <v>#DIV/0!</v>
      </c>
      <c r="K1904" t="e">
        <v>#DIV/0!</v>
      </c>
      <c r="M1904" t="e">
        <v>#DIV/0!</v>
      </c>
      <c r="R1904" t="e">
        <v>#DIV/0!</v>
      </c>
      <c r="T1904">
        <v>1</v>
      </c>
    </row>
    <row r="1905" spans="1:20" x14ac:dyDescent="0.3">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3831</v>
      </c>
      <c r="B1906" s="171" t="s">
        <v>3832</v>
      </c>
      <c r="C1906" s="171" t="s">
        <v>224</v>
      </c>
      <c r="D1906" s="171" t="s">
        <v>80</v>
      </c>
      <c r="E1906" s="11">
        <v>41548</v>
      </c>
      <c r="F1906">
        <v>0</v>
      </c>
      <c r="G1906">
        <v>0</v>
      </c>
      <c r="I1906">
        <v>0</v>
      </c>
      <c r="J1906">
        <v>0</v>
      </c>
      <c r="L1906">
        <v>0</v>
      </c>
      <c r="M1906" t="e">
        <v>#DIV/0!</v>
      </c>
      <c r="R1906" t="e">
        <v>#DIV/0!</v>
      </c>
      <c r="T1906">
        <v>0.88</v>
      </c>
    </row>
    <row r="1907" spans="1:20" x14ac:dyDescent="0.3">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3835</v>
      </c>
      <c r="B1908" s="171" t="s">
        <v>3836</v>
      </c>
      <c r="C1908" s="171" t="s">
        <v>230</v>
      </c>
      <c r="D1908" s="171" t="s">
        <v>80</v>
      </c>
      <c r="E1908" s="11">
        <v>41548</v>
      </c>
      <c r="H1908" t="e">
        <v>#DIV/0!</v>
      </c>
      <c r="K1908" t="e">
        <v>#DIV/0!</v>
      </c>
      <c r="M1908" t="e">
        <v>#DIV/0!</v>
      </c>
      <c r="R1908" t="e">
        <v>#DIV/0!</v>
      </c>
    </row>
    <row r="1909" spans="1:20" x14ac:dyDescent="0.3">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x14ac:dyDescent="0.3">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x14ac:dyDescent="0.3">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3863</v>
      </c>
      <c r="B1922" s="171" t="s">
        <v>3864</v>
      </c>
      <c r="C1922" s="171" t="s">
        <v>116</v>
      </c>
      <c r="D1922" s="171" t="s">
        <v>4</v>
      </c>
      <c r="E1922" s="11">
        <v>41548</v>
      </c>
      <c r="H1922" t="e">
        <v>#DIV/0!</v>
      </c>
      <c r="K1922" t="e">
        <v>#DIV/0!</v>
      </c>
      <c r="M1922" t="e">
        <v>#DIV/0!</v>
      </c>
      <c r="R1922" t="e">
        <v>#DIV/0!</v>
      </c>
      <c r="T1922">
        <v>1</v>
      </c>
    </row>
    <row r="1923" spans="1:20" x14ac:dyDescent="0.3">
      <c r="A1923" t="s">
        <v>3865</v>
      </c>
      <c r="B1923" s="171" t="s">
        <v>3866</v>
      </c>
      <c r="C1923" s="171" t="s">
        <v>119</v>
      </c>
      <c r="D1923" s="171" t="s">
        <v>4</v>
      </c>
      <c r="E1923" s="11">
        <v>41548</v>
      </c>
      <c r="H1923" t="e">
        <v>#DIV/0!</v>
      </c>
      <c r="K1923" t="e">
        <v>#DIV/0!</v>
      </c>
      <c r="M1923" t="e">
        <v>#DIV/0!</v>
      </c>
      <c r="R1923" t="e">
        <v>#DIV/0!</v>
      </c>
      <c r="T1923">
        <v>1</v>
      </c>
    </row>
    <row r="1924" spans="1:20" x14ac:dyDescent="0.3">
      <c r="A1924" t="s">
        <v>3867</v>
      </c>
      <c r="B1924" s="171" t="s">
        <v>3868</v>
      </c>
      <c r="C1924" s="171" t="s">
        <v>122</v>
      </c>
      <c r="D1924" s="171" t="s">
        <v>80</v>
      </c>
      <c r="E1924" s="11">
        <v>41548</v>
      </c>
      <c r="H1924" t="e">
        <v>#DIV/0!</v>
      </c>
      <c r="K1924" t="e">
        <v>#DIV/0!</v>
      </c>
      <c r="M1924" t="e">
        <v>#DIV/0!</v>
      </c>
      <c r="R1924" t="e">
        <v>#DIV/0!</v>
      </c>
      <c r="T1924">
        <v>0.8125</v>
      </c>
    </row>
    <row r="1925" spans="1:20" x14ac:dyDescent="0.3">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3875</v>
      </c>
      <c r="B1928" s="171" t="s">
        <v>3876</v>
      </c>
      <c r="C1928" s="171" t="s">
        <v>134</v>
      </c>
      <c r="D1928" s="171" t="s">
        <v>4</v>
      </c>
      <c r="E1928" s="11">
        <v>41548</v>
      </c>
      <c r="H1928" t="e">
        <v>#DIV/0!</v>
      </c>
      <c r="K1928" t="e">
        <v>#DIV/0!</v>
      </c>
      <c r="M1928" t="e">
        <v>#DIV/0!</v>
      </c>
      <c r="R1928" t="e">
        <v>#DIV/0!</v>
      </c>
    </row>
    <row r="1929" spans="1:20" x14ac:dyDescent="0.3">
      <c r="A1929" t="s">
        <v>3877</v>
      </c>
      <c r="B1929" s="171" t="s">
        <v>3878</v>
      </c>
      <c r="C1929" s="171" t="s">
        <v>137</v>
      </c>
      <c r="D1929" s="171" t="s">
        <v>80</v>
      </c>
      <c r="E1929" s="11">
        <v>41548</v>
      </c>
      <c r="H1929" t="e">
        <v>#DIV/0!</v>
      </c>
      <c r="K1929" t="e">
        <v>#DIV/0!</v>
      </c>
      <c r="M1929" t="e">
        <v>#DIV/0!</v>
      </c>
      <c r="R1929" t="e">
        <v>#DIV/0!</v>
      </c>
    </row>
    <row r="1930" spans="1:20" x14ac:dyDescent="0.3">
      <c r="A1930" t="s">
        <v>3879</v>
      </c>
      <c r="B1930" s="171" t="s">
        <v>3880</v>
      </c>
      <c r="C1930" s="171" t="s">
        <v>140</v>
      </c>
      <c r="D1930" s="171" t="s">
        <v>4</v>
      </c>
      <c r="E1930" s="11">
        <v>41548</v>
      </c>
      <c r="H1930" t="e">
        <v>#DIV/0!</v>
      </c>
      <c r="K1930" t="e">
        <v>#DIV/0!</v>
      </c>
      <c r="M1930" t="e">
        <v>#DIV/0!</v>
      </c>
      <c r="R1930" t="e">
        <v>#DIV/0!</v>
      </c>
    </row>
    <row r="1931" spans="1:20" x14ac:dyDescent="0.3">
      <c r="A1931" t="s">
        <v>3881</v>
      </c>
      <c r="B1931" s="171" t="s">
        <v>3882</v>
      </c>
      <c r="C1931" s="171" t="s">
        <v>167</v>
      </c>
      <c r="D1931" s="171" t="s">
        <v>80</v>
      </c>
      <c r="E1931" s="11">
        <v>41548</v>
      </c>
      <c r="H1931" t="e">
        <v>#DIV/0!</v>
      </c>
      <c r="K1931" t="e">
        <v>#DIV/0!</v>
      </c>
      <c r="M1931" t="e">
        <v>#DIV/0!</v>
      </c>
      <c r="R1931" t="e">
        <v>#DIV/0!</v>
      </c>
    </row>
    <row r="1932" spans="1:20" x14ac:dyDescent="0.3">
      <c r="A1932" t="s">
        <v>3883</v>
      </c>
      <c r="B1932" s="171" t="s">
        <v>3884</v>
      </c>
      <c r="C1932" s="171" t="s">
        <v>170</v>
      </c>
      <c r="D1932" s="171" t="s">
        <v>4</v>
      </c>
      <c r="E1932" s="11">
        <v>41548</v>
      </c>
      <c r="H1932" t="e">
        <v>#DIV/0!</v>
      </c>
      <c r="K1932" t="e">
        <v>#DIV/0!</v>
      </c>
      <c r="M1932" t="e">
        <v>#DIV/0!</v>
      </c>
      <c r="R1932" t="e">
        <v>#DIV/0!</v>
      </c>
    </row>
    <row r="1933" spans="1:20" x14ac:dyDescent="0.3">
      <c r="A1933" t="s">
        <v>3885</v>
      </c>
      <c r="B1933" s="171" t="s">
        <v>3886</v>
      </c>
      <c r="C1933" s="171" t="s">
        <v>179</v>
      </c>
      <c r="D1933" s="171" t="s">
        <v>80</v>
      </c>
      <c r="E1933" s="11">
        <v>41548</v>
      </c>
      <c r="H1933" t="e">
        <v>#DIV/0!</v>
      </c>
      <c r="K1933" t="e">
        <v>#DIV/0!</v>
      </c>
      <c r="M1933" t="e">
        <v>#DIV/0!</v>
      </c>
      <c r="R1933" t="e">
        <v>#DIV/0!</v>
      </c>
      <c r="T1933">
        <v>0.75</v>
      </c>
    </row>
    <row r="1934" spans="1:20" x14ac:dyDescent="0.3">
      <c r="A1934" t="s">
        <v>3887</v>
      </c>
      <c r="B1934" s="171" t="s">
        <v>3888</v>
      </c>
      <c r="C1934" s="171" t="s">
        <v>182</v>
      </c>
      <c r="D1934" s="171" t="s">
        <v>4</v>
      </c>
      <c r="E1934" s="11">
        <v>41548</v>
      </c>
      <c r="H1934" t="e">
        <v>#DIV/0!</v>
      </c>
      <c r="K1934" t="e">
        <v>#DIV/0!</v>
      </c>
      <c r="M1934" t="e">
        <v>#DIV/0!</v>
      </c>
      <c r="R1934" t="e">
        <v>#DIV/0!</v>
      </c>
      <c r="T1934">
        <v>1.0125</v>
      </c>
    </row>
    <row r="1935" spans="1:20" x14ac:dyDescent="0.3">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3897</v>
      </c>
      <c r="B1939" s="171" t="s">
        <v>3898</v>
      </c>
      <c r="C1939" s="171" t="s">
        <v>197</v>
      </c>
      <c r="D1939" s="171" t="s">
        <v>4</v>
      </c>
      <c r="E1939" s="11">
        <v>41548</v>
      </c>
      <c r="H1939" t="e">
        <v>#DIV/0!</v>
      </c>
      <c r="K1939" t="e">
        <v>#DIV/0!</v>
      </c>
      <c r="M1939" t="e">
        <v>#DIV/0!</v>
      </c>
      <c r="R1939" t="e">
        <v>#DIV/0!</v>
      </c>
    </row>
    <row r="1940" spans="1:20" x14ac:dyDescent="0.3">
      <c r="A1940" t="s">
        <v>3899</v>
      </c>
      <c r="B1940" s="171" t="s">
        <v>3900</v>
      </c>
      <c r="C1940" s="171" t="s">
        <v>209</v>
      </c>
      <c r="D1940" s="171" t="s">
        <v>4</v>
      </c>
      <c r="E1940" s="11">
        <v>41548</v>
      </c>
      <c r="H1940" t="e">
        <v>#DIV/0!</v>
      </c>
      <c r="K1940" t="e">
        <v>#DIV/0!</v>
      </c>
      <c r="M1940" t="e">
        <v>#DIV/0!</v>
      </c>
      <c r="R1940" t="e">
        <v>#DIV/0!</v>
      </c>
    </row>
    <row r="1941" spans="1:20" x14ac:dyDescent="0.3">
      <c r="A1941" t="s">
        <v>3901</v>
      </c>
      <c r="B1941" s="171" t="s">
        <v>3902</v>
      </c>
      <c r="C1941" s="171" t="s">
        <v>212</v>
      </c>
      <c r="D1941" s="171" t="s">
        <v>80</v>
      </c>
      <c r="E1941" s="11">
        <v>41548</v>
      </c>
      <c r="H1941" t="e">
        <v>#DIV/0!</v>
      </c>
      <c r="K1941" t="e">
        <v>#DIV/0!</v>
      </c>
      <c r="M1941" t="e">
        <v>#DIV/0!</v>
      </c>
      <c r="R1941" t="e">
        <v>#DIV/0!</v>
      </c>
      <c r="T1941">
        <v>0.88</v>
      </c>
    </row>
    <row r="1942" spans="1:20" x14ac:dyDescent="0.3">
      <c r="A1942" t="s">
        <v>3903</v>
      </c>
      <c r="B1942" s="171" t="s">
        <v>3904</v>
      </c>
      <c r="C1942" s="171" t="s">
        <v>215</v>
      </c>
      <c r="D1942" s="171" t="s">
        <v>80</v>
      </c>
      <c r="E1942" s="11">
        <v>41548</v>
      </c>
      <c r="H1942" t="e">
        <v>#DIV/0!</v>
      </c>
      <c r="K1942" t="e">
        <v>#DIV/0!</v>
      </c>
      <c r="M1942" t="e">
        <v>#DIV/0!</v>
      </c>
      <c r="R1942" t="e">
        <v>#DIV/0!</v>
      </c>
    </row>
    <row r="1943" spans="1:20" x14ac:dyDescent="0.3">
      <c r="A1943" t="s">
        <v>3905</v>
      </c>
      <c r="B1943" s="171" t="s">
        <v>3906</v>
      </c>
      <c r="C1943" s="171" t="s">
        <v>218</v>
      </c>
      <c r="D1943" s="171" t="s">
        <v>4</v>
      </c>
      <c r="E1943" s="11">
        <v>41548</v>
      </c>
      <c r="H1943" t="e">
        <v>#DIV/0!</v>
      </c>
      <c r="K1943" t="e">
        <v>#DIV/0!</v>
      </c>
      <c r="M1943" t="e">
        <v>#DIV/0!</v>
      </c>
      <c r="R1943" t="e">
        <v>#DIV/0!</v>
      </c>
    </row>
    <row r="1944" spans="1:20" x14ac:dyDescent="0.3">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3913</v>
      </c>
      <c r="B1947" s="171" t="s">
        <v>3914</v>
      </c>
      <c r="C1947" s="171" t="s">
        <v>143</v>
      </c>
      <c r="D1947" s="171" t="s">
        <v>4</v>
      </c>
      <c r="E1947" s="11">
        <v>41548</v>
      </c>
      <c r="H1947" t="e">
        <v>#DIV/0!</v>
      </c>
      <c r="K1947" t="e">
        <v>#DIV/0!</v>
      </c>
      <c r="M1947" t="e">
        <v>#DIV/0!</v>
      </c>
      <c r="N1947">
        <v>0</v>
      </c>
      <c r="R1947" t="e">
        <v>#DIV/0!</v>
      </c>
      <c r="T1947">
        <v>1</v>
      </c>
    </row>
    <row r="1948" spans="1:20" x14ac:dyDescent="0.3">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3917</v>
      </c>
      <c r="B1949" s="171" t="s">
        <v>3918</v>
      </c>
      <c r="C1949" s="171" t="s">
        <v>149</v>
      </c>
      <c r="D1949" s="171" t="s">
        <v>4</v>
      </c>
      <c r="E1949" s="11">
        <v>41548</v>
      </c>
      <c r="T1949">
        <v>1.1875</v>
      </c>
    </row>
    <row r="1950" spans="1:20" x14ac:dyDescent="0.3">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x14ac:dyDescent="0.3">
      <c r="A1952" t="s">
        <v>3923</v>
      </c>
      <c r="B1952" s="171" t="s">
        <v>3924</v>
      </c>
      <c r="C1952" s="171" t="s">
        <v>158</v>
      </c>
      <c r="D1952" s="171" t="s">
        <v>4</v>
      </c>
      <c r="E1952" s="11">
        <v>41548</v>
      </c>
      <c r="H1952" t="e">
        <v>#DIV/0!</v>
      </c>
      <c r="K1952" t="e">
        <v>#DIV/0!</v>
      </c>
      <c r="M1952" t="e">
        <v>#DIV/0!</v>
      </c>
      <c r="R1952" t="e">
        <v>#DIV/0!</v>
      </c>
      <c r="T1952">
        <v>0.68899999999999995</v>
      </c>
    </row>
    <row r="1953" spans="1:20" x14ac:dyDescent="0.3">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x14ac:dyDescent="0.3">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3931</v>
      </c>
      <c r="B1956" s="171" t="s">
        <v>3932</v>
      </c>
      <c r="C1956" s="171" t="s">
        <v>224</v>
      </c>
      <c r="D1956" s="171" t="s">
        <v>4</v>
      </c>
      <c r="E1956" s="11">
        <v>41548</v>
      </c>
      <c r="F1956">
        <v>0</v>
      </c>
      <c r="G1956">
        <v>0</v>
      </c>
      <c r="I1956">
        <v>0</v>
      </c>
      <c r="J1956">
        <v>0</v>
      </c>
      <c r="L1956">
        <v>0</v>
      </c>
      <c r="M1956" t="e">
        <v>#DIV/0!</v>
      </c>
      <c r="R1956" t="e">
        <v>#DIV/0!</v>
      </c>
      <c r="T1956">
        <v>1</v>
      </c>
    </row>
    <row r="1957" spans="1:20" x14ac:dyDescent="0.3">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3935</v>
      </c>
      <c r="B1958" s="171" t="s">
        <v>3936</v>
      </c>
      <c r="C1958" s="171" t="s">
        <v>230</v>
      </c>
      <c r="D1958" s="171" t="s">
        <v>4</v>
      </c>
      <c r="E1958" s="11">
        <v>41548</v>
      </c>
      <c r="H1958" t="e">
        <v>#DIV/0!</v>
      </c>
      <c r="K1958" t="e">
        <v>#DIV/0!</v>
      </c>
      <c r="M1958" t="e">
        <v>#DIV/0!</v>
      </c>
      <c r="R1958" t="e">
        <v>#DIV/0!</v>
      </c>
      <c r="T1958">
        <v>0.78260869565217395</v>
      </c>
    </row>
    <row r="1959" spans="1:20" x14ac:dyDescent="0.3">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x14ac:dyDescent="0.3">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x14ac:dyDescent="0.3">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x14ac:dyDescent="0.3">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3965</v>
      </c>
      <c r="B1973" s="171" t="s">
        <v>3966</v>
      </c>
      <c r="C1973" s="171" t="s">
        <v>116</v>
      </c>
      <c r="D1973" s="171" t="s">
        <v>80</v>
      </c>
      <c r="E1973" s="11">
        <v>41579</v>
      </c>
      <c r="H1973" t="e">
        <v>#DIV/0!</v>
      </c>
      <c r="K1973" t="e">
        <v>#DIV/0!</v>
      </c>
      <c r="M1973" t="e">
        <v>#DIV/0!</v>
      </c>
      <c r="R1973" t="e">
        <v>#DIV/0!</v>
      </c>
      <c r="T1973" t="e">
        <v>#DIV/0!</v>
      </c>
    </row>
    <row r="1974" spans="1:20" x14ac:dyDescent="0.3">
      <c r="A1974" t="s">
        <v>3967</v>
      </c>
      <c r="B1974" s="171" t="s">
        <v>3968</v>
      </c>
      <c r="C1974" s="171" t="s">
        <v>119</v>
      </c>
      <c r="D1974" s="171" t="s">
        <v>80</v>
      </c>
      <c r="E1974" s="11">
        <v>41579</v>
      </c>
      <c r="H1974" t="e">
        <v>#DIV/0!</v>
      </c>
      <c r="K1974" t="e">
        <v>#DIV/0!</v>
      </c>
      <c r="M1974" t="e">
        <v>#DIV/0!</v>
      </c>
      <c r="R1974" t="e">
        <v>#DIV/0!</v>
      </c>
      <c r="T1974">
        <v>1</v>
      </c>
    </row>
    <row r="1975" spans="1:20" x14ac:dyDescent="0.3">
      <c r="A1975" t="s">
        <v>3969</v>
      </c>
      <c r="B1975" s="171" t="s">
        <v>3970</v>
      </c>
      <c r="C1975" s="171" t="s">
        <v>122</v>
      </c>
      <c r="D1975" s="171" t="s">
        <v>4</v>
      </c>
      <c r="E1975" s="11">
        <v>41579</v>
      </c>
      <c r="H1975" t="e">
        <v>#DIV/0!</v>
      </c>
      <c r="K1975" t="e">
        <v>#DIV/0!</v>
      </c>
      <c r="M1975" t="e">
        <v>#DIV/0!</v>
      </c>
      <c r="R1975" t="e">
        <v>#DIV/0!</v>
      </c>
      <c r="T1975">
        <v>1.0375000000000001</v>
      </c>
    </row>
    <row r="1976" spans="1:20" x14ac:dyDescent="0.3">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3977</v>
      </c>
      <c r="B1979" s="171" t="s">
        <v>3978</v>
      </c>
      <c r="C1979" s="171" t="s">
        <v>134</v>
      </c>
      <c r="D1979" s="171" t="s">
        <v>80</v>
      </c>
      <c r="E1979" s="11">
        <v>41579</v>
      </c>
      <c r="H1979" t="e">
        <v>#DIV/0!</v>
      </c>
      <c r="K1979" t="e">
        <v>#DIV/0!</v>
      </c>
      <c r="M1979" t="e">
        <v>#DIV/0!</v>
      </c>
      <c r="R1979" t="e">
        <v>#DIV/0!</v>
      </c>
      <c r="T1979" t="e">
        <v>#DIV/0!</v>
      </c>
    </row>
    <row r="1980" spans="1:20" x14ac:dyDescent="0.3">
      <c r="A1980" t="s">
        <v>3979</v>
      </c>
      <c r="B1980" s="171" t="s">
        <v>3980</v>
      </c>
      <c r="C1980" s="171" t="s">
        <v>137</v>
      </c>
      <c r="D1980" s="171" t="s">
        <v>4</v>
      </c>
      <c r="E1980" s="11">
        <v>41579</v>
      </c>
      <c r="H1980" t="e">
        <v>#DIV/0!</v>
      </c>
      <c r="K1980" t="e">
        <v>#DIV/0!</v>
      </c>
      <c r="M1980" t="e">
        <v>#DIV/0!</v>
      </c>
      <c r="R1980" t="e">
        <v>#DIV/0!</v>
      </c>
      <c r="T1980" t="e">
        <v>#DIV/0!</v>
      </c>
    </row>
    <row r="1981" spans="1:20" x14ac:dyDescent="0.3">
      <c r="A1981" t="s">
        <v>3981</v>
      </c>
      <c r="B1981" s="171" t="s">
        <v>3982</v>
      </c>
      <c r="C1981" s="171" t="s">
        <v>140</v>
      </c>
      <c r="D1981" s="171" t="s">
        <v>80</v>
      </c>
      <c r="E1981" s="11">
        <v>41579</v>
      </c>
      <c r="H1981" t="e">
        <v>#DIV/0!</v>
      </c>
      <c r="K1981" t="e">
        <v>#DIV/0!</v>
      </c>
      <c r="M1981" t="e">
        <v>#DIV/0!</v>
      </c>
      <c r="R1981" t="e">
        <v>#DIV/0!</v>
      </c>
      <c r="T1981" t="e">
        <v>#DIV/0!</v>
      </c>
    </row>
    <row r="1982" spans="1:20" x14ac:dyDescent="0.3">
      <c r="A1982" t="s">
        <v>3983</v>
      </c>
      <c r="B1982" s="171" t="s">
        <v>3984</v>
      </c>
      <c r="C1982" s="171" t="s">
        <v>143</v>
      </c>
      <c r="D1982" s="171" t="s">
        <v>80</v>
      </c>
      <c r="E1982" s="11">
        <v>41579</v>
      </c>
      <c r="H1982" t="e">
        <v>#DIV/0!</v>
      </c>
      <c r="K1982" t="e">
        <v>#DIV/0!</v>
      </c>
      <c r="M1982" t="e">
        <v>#DIV/0!</v>
      </c>
      <c r="N1982">
        <v>0</v>
      </c>
      <c r="R1982" t="e">
        <v>#DIV/0!</v>
      </c>
      <c r="T1982" t="e">
        <v>#DIV/0!</v>
      </c>
    </row>
    <row r="1983" spans="1:20" x14ac:dyDescent="0.3">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3987</v>
      </c>
      <c r="B1984" s="171" t="s">
        <v>3988</v>
      </c>
      <c r="C1984" s="171" t="s">
        <v>149</v>
      </c>
      <c r="D1984" s="171" t="s">
        <v>80</v>
      </c>
      <c r="E1984" s="11">
        <v>41579</v>
      </c>
      <c r="H1984" t="e">
        <v>#DIV/0!</v>
      </c>
      <c r="K1984" t="e">
        <v>#DIV/0!</v>
      </c>
      <c r="M1984" t="e">
        <v>#DIV/0!</v>
      </c>
      <c r="R1984" t="e">
        <v>#DIV/0!</v>
      </c>
    </row>
    <row r="1985" spans="1:20" x14ac:dyDescent="0.3">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x14ac:dyDescent="0.3">
      <c r="A1987" t="s">
        <v>3993</v>
      </c>
      <c r="B1987" s="171" t="s">
        <v>3994</v>
      </c>
      <c r="C1987" s="171" t="s">
        <v>158</v>
      </c>
      <c r="D1987" s="171" t="s">
        <v>80</v>
      </c>
      <c r="E1987" s="11">
        <v>41579</v>
      </c>
      <c r="H1987" t="e">
        <v>#DIV/0!</v>
      </c>
      <c r="K1987" t="e">
        <v>#DIV/0!</v>
      </c>
      <c r="M1987" t="e">
        <v>#DIV/0!</v>
      </c>
      <c r="R1987" t="e">
        <v>#DIV/0!</v>
      </c>
      <c r="T1987">
        <v>0.69943478260869563</v>
      </c>
    </row>
    <row r="1988" spans="1:20" x14ac:dyDescent="0.3">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x14ac:dyDescent="0.3">
      <c r="A1990" t="s">
        <v>3999</v>
      </c>
      <c r="B1990" s="171" t="s">
        <v>4000</v>
      </c>
      <c r="C1990" s="171" t="s">
        <v>167</v>
      </c>
      <c r="D1990" s="171" t="s">
        <v>4</v>
      </c>
      <c r="E1990" s="11">
        <v>41579</v>
      </c>
      <c r="H1990" t="e">
        <v>#DIV/0!</v>
      </c>
      <c r="K1990" t="e">
        <v>#DIV/0!</v>
      </c>
      <c r="M1990" t="e">
        <v>#DIV/0!</v>
      </c>
      <c r="R1990" t="e">
        <v>#DIV/0!</v>
      </c>
      <c r="T1990">
        <v>0.77898550724637683</v>
      </c>
    </row>
    <row r="1991" spans="1:20" x14ac:dyDescent="0.3">
      <c r="A1991" t="s">
        <v>4001</v>
      </c>
      <c r="B1991" s="171" t="s">
        <v>4002</v>
      </c>
      <c r="C1991" s="171" t="s">
        <v>170</v>
      </c>
      <c r="D1991" s="171" t="s">
        <v>80</v>
      </c>
      <c r="E1991" s="11">
        <v>41579</v>
      </c>
      <c r="H1991" t="e">
        <v>#DIV/0!</v>
      </c>
      <c r="K1991" t="e">
        <v>#DIV/0!</v>
      </c>
      <c r="M1991" t="e">
        <v>#DIV/0!</v>
      </c>
      <c r="R1991" t="e">
        <v>#DIV/0!</v>
      </c>
    </row>
    <row r="1992" spans="1:20" x14ac:dyDescent="0.3">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x14ac:dyDescent="0.3">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4007</v>
      </c>
      <c r="B1994" s="171" t="s">
        <v>4008</v>
      </c>
      <c r="C1994" s="171" t="s">
        <v>179</v>
      </c>
      <c r="D1994" s="171" t="s">
        <v>4</v>
      </c>
      <c r="E1994" s="11">
        <v>41579</v>
      </c>
      <c r="H1994" t="e">
        <v>#DIV/0!</v>
      </c>
      <c r="K1994" t="e">
        <v>#DIV/0!</v>
      </c>
      <c r="M1994" t="e">
        <v>#DIV/0!</v>
      </c>
      <c r="R1994" t="e">
        <v>#DIV/0!</v>
      </c>
    </row>
    <row r="1995" spans="1:20" x14ac:dyDescent="0.3">
      <c r="A1995" t="s">
        <v>4009</v>
      </c>
      <c r="B1995" s="171" t="s">
        <v>4010</v>
      </c>
      <c r="C1995" s="171" t="s">
        <v>182</v>
      </c>
      <c r="D1995" s="171" t="s">
        <v>80</v>
      </c>
      <c r="E1995" s="11">
        <v>41579</v>
      </c>
      <c r="H1995" t="e">
        <v>#DIV/0!</v>
      </c>
      <c r="K1995" t="e">
        <v>#DIV/0!</v>
      </c>
      <c r="M1995" t="e">
        <v>#DIV/0!</v>
      </c>
      <c r="R1995" t="e">
        <v>#DIV/0!</v>
      </c>
    </row>
    <row r="1996" spans="1:20" x14ac:dyDescent="0.3">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4019</v>
      </c>
      <c r="B2000" s="171" t="s">
        <v>4020</v>
      </c>
      <c r="C2000" s="171" t="s">
        <v>197</v>
      </c>
      <c r="D2000" s="171" t="s">
        <v>80</v>
      </c>
      <c r="E2000" s="11">
        <v>41579</v>
      </c>
      <c r="H2000" t="e">
        <v>#DIV/0!</v>
      </c>
      <c r="K2000" t="e">
        <v>#DIV/0!</v>
      </c>
      <c r="M2000" t="e">
        <v>#DIV/0!</v>
      </c>
      <c r="R2000" t="e">
        <v>#DIV/0!</v>
      </c>
      <c r="T2000">
        <v>1.125</v>
      </c>
    </row>
    <row r="2001" spans="1:20" x14ac:dyDescent="0.3">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x14ac:dyDescent="0.3">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4027</v>
      </c>
      <c r="B2004" s="171" t="s">
        <v>4028</v>
      </c>
      <c r="C2004" s="171" t="s">
        <v>209</v>
      </c>
      <c r="D2004" s="171" t="s">
        <v>80</v>
      </c>
      <c r="E2004" s="11">
        <v>41579</v>
      </c>
      <c r="H2004" t="e">
        <v>#DIV/0!</v>
      </c>
      <c r="K2004" t="e">
        <v>#DIV/0!</v>
      </c>
      <c r="M2004" t="e">
        <v>#DIV/0!</v>
      </c>
      <c r="R2004" t="e">
        <v>#DIV/0!</v>
      </c>
      <c r="T2004">
        <v>0.66100000000000003</v>
      </c>
    </row>
    <row r="2005" spans="1:20" x14ac:dyDescent="0.3">
      <c r="A2005" t="s">
        <v>4029</v>
      </c>
      <c r="B2005" s="171" t="s">
        <v>4030</v>
      </c>
      <c r="C2005" s="171" t="s">
        <v>212</v>
      </c>
      <c r="D2005" s="171" t="s">
        <v>4</v>
      </c>
      <c r="E2005" s="11">
        <v>41579</v>
      </c>
      <c r="H2005" t="e">
        <v>#DIV/0!</v>
      </c>
      <c r="K2005" t="e">
        <v>#DIV/0!</v>
      </c>
      <c r="M2005" t="e">
        <v>#DIV/0!</v>
      </c>
      <c r="R2005" t="e">
        <v>#DIV/0!</v>
      </c>
      <c r="T2005">
        <v>1.06</v>
      </c>
    </row>
    <row r="2006" spans="1:20" x14ac:dyDescent="0.3">
      <c r="A2006" t="s">
        <v>4031</v>
      </c>
      <c r="B2006" s="171" t="s">
        <v>4032</v>
      </c>
      <c r="C2006" s="171" t="s">
        <v>215</v>
      </c>
      <c r="D2006" s="171" t="s">
        <v>4</v>
      </c>
      <c r="E2006" s="11">
        <v>41579</v>
      </c>
      <c r="H2006" t="e">
        <v>#DIV/0!</v>
      </c>
      <c r="K2006" t="e">
        <v>#DIV/0!</v>
      </c>
      <c r="M2006" t="e">
        <v>#DIV/0!</v>
      </c>
      <c r="R2006" t="e">
        <v>#DIV/0!</v>
      </c>
      <c r="T2006">
        <v>0.9</v>
      </c>
    </row>
    <row r="2007" spans="1:20" x14ac:dyDescent="0.3">
      <c r="A2007" t="s">
        <v>4033</v>
      </c>
      <c r="B2007" s="171" t="s">
        <v>4034</v>
      </c>
      <c r="C2007" s="171" t="s">
        <v>218</v>
      </c>
      <c r="D2007" s="171" t="s">
        <v>80</v>
      </c>
      <c r="E2007" s="11">
        <v>41579</v>
      </c>
      <c r="H2007" t="e">
        <v>#DIV/0!</v>
      </c>
      <c r="K2007" t="e">
        <v>#DIV/0!</v>
      </c>
      <c r="M2007" t="e">
        <v>#DIV/0!</v>
      </c>
      <c r="R2007" t="e">
        <v>#DIV/0!</v>
      </c>
      <c r="T2007">
        <v>0.84615384615384615</v>
      </c>
    </row>
    <row r="2008" spans="1:20" x14ac:dyDescent="0.3">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x14ac:dyDescent="0.3">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4041</v>
      </c>
      <c r="B2011" s="171" t="s">
        <v>4042</v>
      </c>
      <c r="C2011" s="171" t="s">
        <v>230</v>
      </c>
      <c r="D2011" s="171" t="s">
        <v>80</v>
      </c>
      <c r="E2011" s="11">
        <v>41579</v>
      </c>
      <c r="H2011" t="e">
        <v>#DIV/0!</v>
      </c>
      <c r="K2011" t="e">
        <v>#DIV/0!</v>
      </c>
      <c r="M2011" t="e">
        <v>#DIV/0!</v>
      </c>
      <c r="R2011" t="e">
        <v>#DIV/0!</v>
      </c>
      <c r="T2011">
        <v>0.66666666666666663</v>
      </c>
    </row>
    <row r="2012" spans="1:20" x14ac:dyDescent="0.3">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x14ac:dyDescent="0.3">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3">
      <c r="A2025" t="s">
        <v>4069</v>
      </c>
      <c r="B2025" s="171" t="s">
        <v>4070</v>
      </c>
      <c r="C2025" s="171" t="s">
        <v>116</v>
      </c>
      <c r="D2025" s="171" t="s">
        <v>4</v>
      </c>
      <c r="E2025" s="11">
        <v>41579</v>
      </c>
      <c r="H2025" t="e">
        <v>#DIV/0!</v>
      </c>
      <c r="K2025" t="e">
        <v>#DIV/0!</v>
      </c>
      <c r="M2025" t="e">
        <v>#DIV/0!</v>
      </c>
      <c r="R2025" t="e">
        <v>#DIV/0!</v>
      </c>
    </row>
    <row r="2026" spans="1:20" x14ac:dyDescent="0.3">
      <c r="A2026" t="s">
        <v>4071</v>
      </c>
      <c r="B2026" s="171" t="s">
        <v>4072</v>
      </c>
      <c r="C2026" s="171" t="s">
        <v>119</v>
      </c>
      <c r="D2026" s="171" t="s">
        <v>4</v>
      </c>
      <c r="E2026" s="11">
        <v>41579</v>
      </c>
      <c r="H2026" t="e">
        <v>#DIV/0!</v>
      </c>
      <c r="K2026" t="e">
        <v>#DIV/0!</v>
      </c>
      <c r="M2026" t="e">
        <v>#DIV/0!</v>
      </c>
      <c r="R2026" t="e">
        <v>#DIV/0!</v>
      </c>
      <c r="T2026">
        <v>1</v>
      </c>
    </row>
    <row r="2027" spans="1:20" x14ac:dyDescent="0.3">
      <c r="A2027" t="s">
        <v>4073</v>
      </c>
      <c r="B2027" s="171" t="s">
        <v>4074</v>
      </c>
      <c r="C2027" s="171" t="s">
        <v>122</v>
      </c>
      <c r="D2027" s="171" t="s">
        <v>80</v>
      </c>
      <c r="E2027" s="11">
        <v>41579</v>
      </c>
      <c r="H2027" t="e">
        <v>#DIV/0!</v>
      </c>
      <c r="K2027" t="e">
        <v>#DIV/0!</v>
      </c>
      <c r="M2027" t="e">
        <v>#DIV/0!</v>
      </c>
      <c r="R2027" t="e">
        <v>#DIV/0!</v>
      </c>
      <c r="T2027">
        <v>1.0625</v>
      </c>
    </row>
    <row r="2028" spans="1:20" x14ac:dyDescent="0.3">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4081</v>
      </c>
      <c r="B2031" s="171" t="s">
        <v>4082</v>
      </c>
      <c r="C2031" s="171" t="s">
        <v>134</v>
      </c>
      <c r="D2031" s="171" t="s">
        <v>4</v>
      </c>
      <c r="E2031" s="11">
        <v>41579</v>
      </c>
      <c r="H2031" t="e">
        <v>#DIV/0!</v>
      </c>
      <c r="K2031" t="e">
        <v>#DIV/0!</v>
      </c>
      <c r="M2031" t="e">
        <v>#DIV/0!</v>
      </c>
      <c r="R2031" t="e">
        <v>#DIV/0!</v>
      </c>
      <c r="T2031">
        <v>0.66666666666666663</v>
      </c>
    </row>
    <row r="2032" spans="1:20" x14ac:dyDescent="0.3">
      <c r="A2032" t="s">
        <v>4083</v>
      </c>
      <c r="B2032" s="171" t="s">
        <v>4084</v>
      </c>
      <c r="C2032" s="171" t="s">
        <v>137</v>
      </c>
      <c r="D2032" s="171" t="s">
        <v>80</v>
      </c>
      <c r="E2032" s="11">
        <v>41579</v>
      </c>
      <c r="H2032" t="e">
        <v>#DIV/0!</v>
      </c>
      <c r="K2032" t="e">
        <v>#DIV/0!</v>
      </c>
      <c r="M2032" t="e">
        <v>#DIV/0!</v>
      </c>
      <c r="R2032" t="e">
        <v>#DIV/0!</v>
      </c>
    </row>
    <row r="2033" spans="1:20" x14ac:dyDescent="0.3">
      <c r="A2033" t="s">
        <v>4085</v>
      </c>
      <c r="B2033" s="171" t="s">
        <v>4086</v>
      </c>
      <c r="C2033" s="171" t="s">
        <v>140</v>
      </c>
      <c r="D2033" s="171" t="s">
        <v>4</v>
      </c>
      <c r="E2033" s="11">
        <v>41579</v>
      </c>
      <c r="H2033" t="e">
        <v>#DIV/0!</v>
      </c>
      <c r="K2033" t="e">
        <v>#DIV/0!</v>
      </c>
      <c r="M2033" t="e">
        <v>#DIV/0!</v>
      </c>
      <c r="R2033" t="e">
        <v>#DIV/0!</v>
      </c>
    </row>
    <row r="2034" spans="1:20" x14ac:dyDescent="0.3">
      <c r="A2034" t="s">
        <v>4087</v>
      </c>
      <c r="B2034" s="171" t="s">
        <v>4088</v>
      </c>
      <c r="C2034" s="171" t="s">
        <v>167</v>
      </c>
      <c r="D2034" s="171" t="s">
        <v>80</v>
      </c>
      <c r="E2034" s="11">
        <v>41579</v>
      </c>
      <c r="H2034" t="e">
        <v>#DIV/0!</v>
      </c>
      <c r="K2034" t="e">
        <v>#DIV/0!</v>
      </c>
      <c r="M2034" t="e">
        <v>#DIV/0!</v>
      </c>
      <c r="R2034" t="e">
        <v>#DIV/0!</v>
      </c>
    </row>
    <row r="2035" spans="1:20" x14ac:dyDescent="0.3">
      <c r="A2035" t="s">
        <v>4089</v>
      </c>
      <c r="B2035" s="171" t="s">
        <v>4090</v>
      </c>
      <c r="C2035" s="171" t="s">
        <v>170</v>
      </c>
      <c r="D2035" s="171" t="s">
        <v>4</v>
      </c>
      <c r="E2035" s="11">
        <v>41579</v>
      </c>
      <c r="H2035" t="e">
        <v>#DIV/0!</v>
      </c>
      <c r="K2035" t="e">
        <v>#DIV/0!</v>
      </c>
      <c r="M2035" t="e">
        <v>#DIV/0!</v>
      </c>
      <c r="R2035" t="e">
        <v>#DIV/0!</v>
      </c>
    </row>
    <row r="2036" spans="1:20" x14ac:dyDescent="0.3">
      <c r="A2036" t="s">
        <v>4091</v>
      </c>
      <c r="B2036" s="171" t="s">
        <v>4092</v>
      </c>
      <c r="C2036" s="171" t="s">
        <v>179</v>
      </c>
      <c r="D2036" s="171" t="s">
        <v>80</v>
      </c>
      <c r="E2036" s="11">
        <v>41579</v>
      </c>
      <c r="H2036" t="e">
        <v>#DIV/0!</v>
      </c>
      <c r="K2036" t="e">
        <v>#DIV/0!</v>
      </c>
      <c r="M2036" t="e">
        <v>#DIV/0!</v>
      </c>
      <c r="R2036" t="e">
        <v>#DIV/0!</v>
      </c>
    </row>
    <row r="2037" spans="1:20" x14ac:dyDescent="0.3">
      <c r="A2037" t="s">
        <v>4093</v>
      </c>
      <c r="B2037" s="171" t="s">
        <v>4094</v>
      </c>
      <c r="C2037" s="171" t="s">
        <v>182</v>
      </c>
      <c r="D2037" s="171" t="s">
        <v>4</v>
      </c>
      <c r="E2037" s="11">
        <v>41579</v>
      </c>
      <c r="H2037" t="e">
        <v>#DIV/0!</v>
      </c>
      <c r="K2037" t="e">
        <v>#DIV/0!</v>
      </c>
      <c r="M2037" t="e">
        <v>#DIV/0!</v>
      </c>
      <c r="R2037" t="e">
        <v>#DIV/0!</v>
      </c>
      <c r="T2037">
        <v>0.73076923076923084</v>
      </c>
    </row>
    <row r="2038" spans="1:20" x14ac:dyDescent="0.3">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4103</v>
      </c>
      <c r="B2042" s="171" t="s">
        <v>4104</v>
      </c>
      <c r="C2042" s="171" t="s">
        <v>197</v>
      </c>
      <c r="D2042" s="171" t="s">
        <v>4</v>
      </c>
      <c r="E2042" s="11">
        <v>41579</v>
      </c>
      <c r="H2042" t="e">
        <v>#DIV/0!</v>
      </c>
      <c r="K2042" t="e">
        <v>#DIV/0!</v>
      </c>
      <c r="M2042" t="e">
        <v>#DIV/0!</v>
      </c>
      <c r="R2042" t="e">
        <v>#DIV/0!</v>
      </c>
      <c r="T2042">
        <v>0.84801864801864801</v>
      </c>
    </row>
    <row r="2043" spans="1:20" x14ac:dyDescent="0.3">
      <c r="A2043" t="s">
        <v>4105</v>
      </c>
      <c r="B2043" s="171" t="s">
        <v>4106</v>
      </c>
      <c r="C2043" s="171" t="s">
        <v>209</v>
      </c>
      <c r="D2043" s="171" t="s">
        <v>4</v>
      </c>
      <c r="E2043" s="11">
        <v>41579</v>
      </c>
      <c r="H2043" t="e">
        <v>#DIV/0!</v>
      </c>
      <c r="K2043" t="e">
        <v>#DIV/0!</v>
      </c>
      <c r="M2043" t="e">
        <v>#DIV/0!</v>
      </c>
      <c r="R2043" t="e">
        <v>#DIV/0!</v>
      </c>
    </row>
    <row r="2044" spans="1:20" x14ac:dyDescent="0.3">
      <c r="A2044" t="s">
        <v>4107</v>
      </c>
      <c r="B2044" s="171" t="s">
        <v>4108</v>
      </c>
      <c r="C2044" s="171" t="s">
        <v>212</v>
      </c>
      <c r="D2044" s="171" t="s">
        <v>80</v>
      </c>
      <c r="E2044" s="11">
        <v>41579</v>
      </c>
      <c r="H2044" t="e">
        <v>#DIV/0!</v>
      </c>
      <c r="K2044" t="e">
        <v>#DIV/0!</v>
      </c>
      <c r="M2044" t="e">
        <v>#DIV/0!</v>
      </c>
      <c r="R2044" t="e">
        <v>#DIV/0!</v>
      </c>
    </row>
    <row r="2045" spans="1:20" x14ac:dyDescent="0.3">
      <c r="A2045" t="s">
        <v>4109</v>
      </c>
      <c r="B2045" s="171" t="s">
        <v>4110</v>
      </c>
      <c r="C2045" s="171" t="s">
        <v>215</v>
      </c>
      <c r="D2045" s="171" t="s">
        <v>80</v>
      </c>
      <c r="E2045" s="11">
        <v>41579</v>
      </c>
      <c r="H2045" t="e">
        <v>#DIV/0!</v>
      </c>
      <c r="K2045" t="e">
        <v>#DIV/0!</v>
      </c>
      <c r="M2045" t="e">
        <v>#DIV/0!</v>
      </c>
      <c r="R2045" t="e">
        <v>#DIV/0!</v>
      </c>
      <c r="T2045">
        <v>0.8477182696530523</v>
      </c>
    </row>
    <row r="2046" spans="1:20" x14ac:dyDescent="0.3">
      <c r="A2046" t="s">
        <v>4111</v>
      </c>
      <c r="B2046" s="171" t="s">
        <v>4112</v>
      </c>
      <c r="C2046" s="171" t="s">
        <v>218</v>
      </c>
      <c r="D2046" s="171" t="s">
        <v>4</v>
      </c>
      <c r="E2046" s="11">
        <v>41579</v>
      </c>
      <c r="H2046" t="e">
        <v>#DIV/0!</v>
      </c>
      <c r="K2046" t="e">
        <v>#DIV/0!</v>
      </c>
      <c r="M2046" t="e">
        <v>#DIV/0!</v>
      </c>
      <c r="R2046" t="e">
        <v>#DIV/0!</v>
      </c>
    </row>
    <row r="2047" spans="1:20" x14ac:dyDescent="0.3">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4119</v>
      </c>
      <c r="B2050" s="171" t="s">
        <v>4120</v>
      </c>
      <c r="C2050" s="171" t="s">
        <v>143</v>
      </c>
      <c r="D2050" s="171" t="s">
        <v>4</v>
      </c>
      <c r="E2050" s="11">
        <v>41579</v>
      </c>
      <c r="H2050" t="e">
        <v>#DIV/0!</v>
      </c>
      <c r="K2050" t="e">
        <v>#DIV/0!</v>
      </c>
      <c r="M2050" t="e">
        <v>#DIV/0!</v>
      </c>
      <c r="N2050">
        <v>0</v>
      </c>
      <c r="R2050" t="e">
        <v>#DIV/0!</v>
      </c>
      <c r="T2050">
        <v>1</v>
      </c>
    </row>
    <row r="2051" spans="1:20" x14ac:dyDescent="0.3">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4123</v>
      </c>
      <c r="B2052" s="171" t="s">
        <v>4124</v>
      </c>
      <c r="C2052" s="171" t="s">
        <v>149</v>
      </c>
      <c r="D2052" s="171" t="s">
        <v>4</v>
      </c>
      <c r="E2052" s="11">
        <v>41579</v>
      </c>
      <c r="H2052" t="e">
        <v>#DIV/0!</v>
      </c>
      <c r="K2052" t="e">
        <v>#DIV/0!</v>
      </c>
      <c r="M2052" t="e">
        <v>#DIV/0!</v>
      </c>
      <c r="R2052" t="e">
        <v>#DIV/0!</v>
      </c>
      <c r="T2052">
        <v>1.1599999999999999</v>
      </c>
    </row>
    <row r="2053" spans="1:20" x14ac:dyDescent="0.3">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x14ac:dyDescent="0.3">
      <c r="A2055" t="s">
        <v>4129</v>
      </c>
      <c r="B2055" s="171" t="s">
        <v>4130</v>
      </c>
      <c r="C2055" s="171" t="s">
        <v>158</v>
      </c>
      <c r="D2055" s="171" t="s">
        <v>4</v>
      </c>
      <c r="E2055" s="11">
        <v>41579</v>
      </c>
      <c r="H2055" t="e">
        <v>#DIV/0!</v>
      </c>
      <c r="K2055" t="e">
        <v>#DIV/0!</v>
      </c>
      <c r="M2055" t="e">
        <v>#DIV/0!</v>
      </c>
      <c r="R2055" t="e">
        <v>#DIV/0!</v>
      </c>
      <c r="T2055">
        <v>0.68899999999999995</v>
      </c>
    </row>
    <row r="2056" spans="1:20" x14ac:dyDescent="0.3">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x14ac:dyDescent="0.3">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x14ac:dyDescent="0.3">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4141</v>
      </c>
      <c r="B2061" s="171" t="s">
        <v>4142</v>
      </c>
      <c r="C2061" s="171" t="s">
        <v>230</v>
      </c>
      <c r="D2061" s="171" t="s">
        <v>4</v>
      </c>
      <c r="E2061" s="11">
        <v>41579</v>
      </c>
      <c r="H2061" t="e">
        <v>#DIV/0!</v>
      </c>
      <c r="K2061" t="e">
        <v>#DIV/0!</v>
      </c>
      <c r="M2061" t="e">
        <v>#DIV/0!</v>
      </c>
      <c r="R2061" t="e">
        <v>#DIV/0!</v>
      </c>
      <c r="T2061">
        <v>0.69565217391304346</v>
      </c>
    </row>
    <row r="2062" spans="1:20" x14ac:dyDescent="0.3">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x14ac:dyDescent="0.3">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x14ac:dyDescent="0.3">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4171</v>
      </c>
      <c r="B2076" s="171" t="s">
        <v>4172</v>
      </c>
      <c r="C2076" s="171" t="s">
        <v>116</v>
      </c>
      <c r="D2076" s="171" t="s">
        <v>80</v>
      </c>
      <c r="E2076" s="11">
        <v>41609</v>
      </c>
      <c r="H2076" t="e">
        <v>#DIV/0!</v>
      </c>
      <c r="K2076" t="e">
        <v>#DIV/0!</v>
      </c>
      <c r="M2076" t="e">
        <v>#DIV/0!</v>
      </c>
      <c r="R2076" t="e">
        <v>#DIV/0!</v>
      </c>
    </row>
    <row r="2077" spans="1:20" x14ac:dyDescent="0.3">
      <c r="A2077" t="s">
        <v>4173</v>
      </c>
      <c r="B2077" s="171" t="s">
        <v>4174</v>
      </c>
      <c r="C2077" s="171" t="s">
        <v>119</v>
      </c>
      <c r="D2077" s="171" t="s">
        <v>80</v>
      </c>
      <c r="E2077" s="11">
        <v>41609</v>
      </c>
      <c r="H2077" t="e">
        <v>#DIV/0!</v>
      </c>
      <c r="K2077" t="e">
        <v>#DIV/0!</v>
      </c>
      <c r="M2077" t="e">
        <v>#DIV/0!</v>
      </c>
      <c r="R2077" t="e">
        <v>#DIV/0!</v>
      </c>
      <c r="T2077">
        <v>1</v>
      </c>
    </row>
    <row r="2078" spans="1:20" x14ac:dyDescent="0.3">
      <c r="A2078" t="s">
        <v>4175</v>
      </c>
      <c r="B2078" s="171" t="s">
        <v>4176</v>
      </c>
      <c r="C2078" s="171" t="s">
        <v>122</v>
      </c>
      <c r="D2078" s="171" t="s">
        <v>4</v>
      </c>
      <c r="E2078" s="11">
        <v>41609</v>
      </c>
      <c r="H2078" t="e">
        <v>#DIV/0!</v>
      </c>
      <c r="K2078" t="e">
        <v>#DIV/0!</v>
      </c>
      <c r="M2078" t="e">
        <v>#DIV/0!</v>
      </c>
      <c r="R2078" t="e">
        <v>#DIV/0!</v>
      </c>
      <c r="T2078">
        <v>1.1499999999999999</v>
      </c>
    </row>
    <row r="2079" spans="1:20" x14ac:dyDescent="0.3">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4183</v>
      </c>
      <c r="B2082" s="171" t="s">
        <v>4184</v>
      </c>
      <c r="C2082" s="171" t="s">
        <v>134</v>
      </c>
      <c r="D2082" s="171" t="s">
        <v>80</v>
      </c>
      <c r="E2082" s="11">
        <v>41609</v>
      </c>
      <c r="H2082" t="e">
        <v>#DIV/0!</v>
      </c>
      <c r="K2082" t="e">
        <v>#DIV/0!</v>
      </c>
      <c r="M2082" t="e">
        <v>#DIV/0!</v>
      </c>
      <c r="R2082" t="e">
        <v>#DIV/0!</v>
      </c>
      <c r="T2082">
        <v>1</v>
      </c>
    </row>
    <row r="2083" spans="1:20" x14ac:dyDescent="0.3">
      <c r="A2083" t="s">
        <v>4185</v>
      </c>
      <c r="B2083" s="171" t="s">
        <v>4186</v>
      </c>
      <c r="C2083" s="171" t="s">
        <v>137</v>
      </c>
      <c r="D2083" s="171" t="s">
        <v>4</v>
      </c>
      <c r="E2083" s="11">
        <v>41609</v>
      </c>
      <c r="H2083" t="e">
        <v>#DIV/0!</v>
      </c>
      <c r="K2083" t="e">
        <v>#DIV/0!</v>
      </c>
      <c r="M2083" t="e">
        <v>#DIV/0!</v>
      </c>
      <c r="R2083" t="e">
        <v>#DIV/0!</v>
      </c>
      <c r="T2083" t="e">
        <v>#DIV/0!</v>
      </c>
    </row>
    <row r="2084" spans="1:20" x14ac:dyDescent="0.3">
      <c r="A2084" t="s">
        <v>4187</v>
      </c>
      <c r="B2084" s="171" t="s">
        <v>4188</v>
      </c>
      <c r="C2084" s="171" t="s">
        <v>140</v>
      </c>
      <c r="D2084" s="171" t="s">
        <v>80</v>
      </c>
      <c r="E2084" s="11">
        <v>41609</v>
      </c>
      <c r="H2084" t="e">
        <v>#DIV/0!</v>
      </c>
      <c r="K2084" t="e">
        <v>#DIV/0!</v>
      </c>
      <c r="M2084" t="e">
        <v>#DIV/0!</v>
      </c>
      <c r="R2084" t="e">
        <v>#DIV/0!</v>
      </c>
      <c r="T2084" t="e">
        <v>#DIV/0!</v>
      </c>
    </row>
    <row r="2085" spans="1:20" x14ac:dyDescent="0.3">
      <c r="A2085" t="s">
        <v>4189</v>
      </c>
      <c r="B2085" s="171" t="s">
        <v>4190</v>
      </c>
      <c r="C2085" s="171" t="s">
        <v>143</v>
      </c>
      <c r="D2085" s="171" t="s">
        <v>80</v>
      </c>
      <c r="E2085" s="11">
        <v>41609</v>
      </c>
      <c r="H2085" t="e">
        <v>#DIV/0!</v>
      </c>
      <c r="K2085" t="e">
        <v>#DIV/0!</v>
      </c>
      <c r="M2085" t="e">
        <v>#DIV/0!</v>
      </c>
      <c r="N2085">
        <v>0</v>
      </c>
      <c r="R2085" t="e">
        <v>#DIV/0!</v>
      </c>
      <c r="T2085" t="e">
        <v>#DIV/0!</v>
      </c>
    </row>
    <row r="2086" spans="1:20" x14ac:dyDescent="0.3">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4193</v>
      </c>
      <c r="B2087" s="171" t="s">
        <v>4194</v>
      </c>
      <c r="C2087" s="171" t="s">
        <v>149</v>
      </c>
      <c r="D2087" s="171" t="s">
        <v>80</v>
      </c>
      <c r="E2087" s="11">
        <v>41609</v>
      </c>
      <c r="H2087" t="e">
        <v>#DIV/0!</v>
      </c>
      <c r="K2087" t="e">
        <v>#DIV/0!</v>
      </c>
      <c r="M2087" t="e">
        <v>#DIV/0!</v>
      </c>
      <c r="P2087">
        <v>0</v>
      </c>
      <c r="Q2087">
        <v>0</v>
      </c>
      <c r="R2087" t="e">
        <v>#DIV/0!</v>
      </c>
    </row>
    <row r="2088" spans="1:20" x14ac:dyDescent="0.3">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x14ac:dyDescent="0.3">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x14ac:dyDescent="0.3">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x14ac:dyDescent="0.3">
      <c r="A2093" t="s">
        <v>4205</v>
      </c>
      <c r="B2093" s="171" t="s">
        <v>4206</v>
      </c>
      <c r="C2093" s="171" t="s">
        <v>167</v>
      </c>
      <c r="D2093" s="171" t="s">
        <v>4</v>
      </c>
      <c r="E2093" s="11">
        <v>41609</v>
      </c>
      <c r="H2093" t="e">
        <v>#DIV/0!</v>
      </c>
      <c r="K2093" t="e">
        <v>#DIV/0!</v>
      </c>
      <c r="M2093" t="e">
        <v>#DIV/0!</v>
      </c>
      <c r="R2093" t="e">
        <v>#DIV/0!</v>
      </c>
      <c r="T2093">
        <v>0.86974637681159417</v>
      </c>
    </row>
    <row r="2094" spans="1:20" x14ac:dyDescent="0.3">
      <c r="A2094" t="s">
        <v>4207</v>
      </c>
      <c r="B2094" s="171" t="s">
        <v>4208</v>
      </c>
      <c r="C2094" s="171" t="s">
        <v>170</v>
      </c>
      <c r="D2094" s="171" t="s">
        <v>80</v>
      </c>
      <c r="E2094" s="11">
        <v>41609</v>
      </c>
      <c r="H2094" t="e">
        <v>#DIV/0!</v>
      </c>
      <c r="K2094" t="e">
        <v>#DIV/0!</v>
      </c>
      <c r="M2094" t="e">
        <v>#DIV/0!</v>
      </c>
      <c r="R2094" t="e">
        <v>#DIV/0!</v>
      </c>
    </row>
    <row r="2095" spans="1:20" x14ac:dyDescent="0.3">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x14ac:dyDescent="0.3">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4213</v>
      </c>
      <c r="B2097" s="171" t="s">
        <v>4214</v>
      </c>
      <c r="C2097" s="171" t="s">
        <v>179</v>
      </c>
      <c r="D2097" s="171" t="s">
        <v>4</v>
      </c>
      <c r="E2097" s="11">
        <v>41609</v>
      </c>
      <c r="H2097" t="e">
        <v>#DIV/0!</v>
      </c>
      <c r="K2097" t="e">
        <v>#DIV/0!</v>
      </c>
      <c r="M2097" t="e">
        <v>#DIV/0!</v>
      </c>
      <c r="R2097" t="e">
        <v>#DIV/0!</v>
      </c>
    </row>
    <row r="2098" spans="1:20" x14ac:dyDescent="0.3">
      <c r="A2098" t="s">
        <v>4215</v>
      </c>
      <c r="B2098" s="171" t="s">
        <v>4216</v>
      </c>
      <c r="C2098" s="171" t="s">
        <v>182</v>
      </c>
      <c r="D2098" s="171" t="s">
        <v>80</v>
      </c>
      <c r="E2098" s="11">
        <v>41609</v>
      </c>
      <c r="H2098" t="e">
        <v>#DIV/0!</v>
      </c>
      <c r="K2098" t="e">
        <v>#DIV/0!</v>
      </c>
      <c r="M2098" t="e">
        <v>#DIV/0!</v>
      </c>
      <c r="R2098" t="e">
        <v>#DIV/0!</v>
      </c>
    </row>
    <row r="2099" spans="1:20" x14ac:dyDescent="0.3">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x14ac:dyDescent="0.3">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4225</v>
      </c>
      <c r="B2103" s="171" t="s">
        <v>4226</v>
      </c>
      <c r="C2103" s="171" t="s">
        <v>197</v>
      </c>
      <c r="D2103" s="171" t="s">
        <v>80</v>
      </c>
      <c r="E2103" s="11">
        <v>41609</v>
      </c>
      <c r="H2103" t="e">
        <v>#DIV/0!</v>
      </c>
      <c r="K2103" t="e">
        <v>#DIV/0!</v>
      </c>
      <c r="M2103" t="e">
        <v>#DIV/0!</v>
      </c>
      <c r="R2103" t="e">
        <v>#DIV/0!</v>
      </c>
      <c r="T2103">
        <v>1.325</v>
      </c>
    </row>
    <row r="2104" spans="1:20" x14ac:dyDescent="0.3">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x14ac:dyDescent="0.3">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4233</v>
      </c>
      <c r="B2107" s="171" t="s">
        <v>4234</v>
      </c>
      <c r="C2107" s="171" t="s">
        <v>209</v>
      </c>
      <c r="D2107" s="171" t="s">
        <v>80</v>
      </c>
      <c r="E2107" s="11">
        <v>41609</v>
      </c>
      <c r="H2107" t="e">
        <v>#DIV/0!</v>
      </c>
      <c r="K2107" t="e">
        <v>#DIV/0!</v>
      </c>
      <c r="M2107" t="e">
        <v>#DIV/0!</v>
      </c>
      <c r="R2107" t="e">
        <v>#DIV/0!</v>
      </c>
      <c r="T2107">
        <v>1.06</v>
      </c>
    </row>
    <row r="2108" spans="1:20" x14ac:dyDescent="0.3">
      <c r="A2108" t="s">
        <v>4235</v>
      </c>
      <c r="B2108" s="171" t="s">
        <v>4236</v>
      </c>
      <c r="C2108" s="171" t="s">
        <v>212</v>
      </c>
      <c r="D2108" s="171" t="s">
        <v>4</v>
      </c>
      <c r="E2108" s="11">
        <v>41609</v>
      </c>
      <c r="H2108" t="e">
        <v>#DIV/0!</v>
      </c>
      <c r="K2108" t="e">
        <v>#DIV/0!</v>
      </c>
      <c r="M2108" t="e">
        <v>#DIV/0!</v>
      </c>
      <c r="R2108" t="e">
        <v>#DIV/0!</v>
      </c>
      <c r="T2108">
        <v>0.9</v>
      </c>
    </row>
    <row r="2109" spans="1:20" x14ac:dyDescent="0.3">
      <c r="A2109" t="s">
        <v>4237</v>
      </c>
      <c r="B2109" s="171" t="s">
        <v>4238</v>
      </c>
      <c r="C2109" s="171" t="s">
        <v>215</v>
      </c>
      <c r="D2109" s="171" t="s">
        <v>4</v>
      </c>
      <c r="E2109" s="11">
        <v>41609</v>
      </c>
      <c r="H2109" t="e">
        <v>#DIV/0!</v>
      </c>
      <c r="K2109" t="e">
        <v>#DIV/0!</v>
      </c>
      <c r="M2109" t="e">
        <v>#DIV/0!</v>
      </c>
      <c r="R2109" t="e">
        <v>#DIV/0!</v>
      </c>
      <c r="T2109">
        <v>0.7142857142857143</v>
      </c>
    </row>
    <row r="2110" spans="1:20" x14ac:dyDescent="0.3">
      <c r="A2110" t="s">
        <v>4239</v>
      </c>
      <c r="B2110" s="171" t="s">
        <v>4240</v>
      </c>
      <c r="C2110" s="171" t="s">
        <v>218</v>
      </c>
      <c r="D2110" s="171" t="s">
        <v>80</v>
      </c>
      <c r="E2110" s="11">
        <v>41609</v>
      </c>
      <c r="H2110" t="e">
        <v>#DIV/0!</v>
      </c>
      <c r="K2110" t="e">
        <v>#DIV/0!</v>
      </c>
      <c r="M2110" t="e">
        <v>#DIV/0!</v>
      </c>
      <c r="R2110" t="e">
        <v>#DIV/0!</v>
      </c>
    </row>
    <row r="2111" spans="1:20" x14ac:dyDescent="0.3">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4247</v>
      </c>
      <c r="B2114" s="171" t="s">
        <v>4248</v>
      </c>
      <c r="C2114" s="171" t="s">
        <v>230</v>
      </c>
      <c r="D2114" s="171" t="s">
        <v>80</v>
      </c>
      <c r="E2114" s="11">
        <v>41609</v>
      </c>
      <c r="H2114" t="e">
        <v>#DIV/0!</v>
      </c>
      <c r="K2114" t="e">
        <v>#DIV/0!</v>
      </c>
      <c r="M2114" t="e">
        <v>#DIV/0!</v>
      </c>
      <c r="R2114" t="e">
        <v>#DIV/0!</v>
      </c>
    </row>
    <row r="2115" spans="1:20" x14ac:dyDescent="0.3">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x14ac:dyDescent="0.3">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x14ac:dyDescent="0.3">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4275</v>
      </c>
      <c r="B2128" s="171" t="s">
        <v>4276</v>
      </c>
      <c r="C2128" s="171" t="s">
        <v>116</v>
      </c>
      <c r="D2128" s="171" t="s">
        <v>4</v>
      </c>
      <c r="E2128" s="11">
        <v>41609</v>
      </c>
      <c r="H2128" t="e">
        <v>#DIV/0!</v>
      </c>
      <c r="K2128" t="e">
        <v>#DIV/0!</v>
      </c>
      <c r="M2128" t="e">
        <v>#DIV/0!</v>
      </c>
      <c r="R2128" t="e">
        <v>#DIV/0!</v>
      </c>
      <c r="T2128">
        <v>1</v>
      </c>
    </row>
    <row r="2129" spans="1:20" x14ac:dyDescent="0.3">
      <c r="A2129" t="s">
        <v>4277</v>
      </c>
      <c r="B2129" s="171" t="s">
        <v>4278</v>
      </c>
      <c r="C2129" s="171" t="s">
        <v>119</v>
      </c>
      <c r="D2129" s="171" t="s">
        <v>4</v>
      </c>
      <c r="E2129" s="11">
        <v>41609</v>
      </c>
      <c r="H2129" t="e">
        <v>#DIV/0!</v>
      </c>
      <c r="K2129" t="e">
        <v>#DIV/0!</v>
      </c>
      <c r="M2129" t="e">
        <v>#DIV/0!</v>
      </c>
      <c r="R2129" t="e">
        <v>#DIV/0!</v>
      </c>
    </row>
    <row r="2130" spans="1:20" x14ac:dyDescent="0.3">
      <c r="A2130" t="s">
        <v>4279</v>
      </c>
      <c r="B2130" s="171" t="s">
        <v>4280</v>
      </c>
      <c r="C2130" s="171" t="s">
        <v>122</v>
      </c>
      <c r="D2130" s="171" t="s">
        <v>80</v>
      </c>
      <c r="E2130" s="11">
        <v>41609</v>
      </c>
      <c r="H2130" t="e">
        <v>#DIV/0!</v>
      </c>
      <c r="K2130" t="e">
        <v>#DIV/0!</v>
      </c>
      <c r="M2130" t="e">
        <v>#DIV/0!</v>
      </c>
      <c r="R2130" t="e">
        <v>#DIV/0!</v>
      </c>
      <c r="T2130">
        <v>1.0425</v>
      </c>
    </row>
    <row r="2131" spans="1:20" x14ac:dyDescent="0.3">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4287</v>
      </c>
      <c r="B2134" s="171" t="s">
        <v>4288</v>
      </c>
      <c r="C2134" s="171" t="s">
        <v>134</v>
      </c>
      <c r="D2134" s="171" t="s">
        <v>4</v>
      </c>
      <c r="E2134" s="11">
        <v>41609</v>
      </c>
      <c r="H2134" t="e">
        <v>#DIV/0!</v>
      </c>
      <c r="K2134" t="e">
        <v>#DIV/0!</v>
      </c>
      <c r="M2134" t="e">
        <v>#DIV/0!</v>
      </c>
      <c r="R2134" t="e">
        <v>#DIV/0!</v>
      </c>
    </row>
    <row r="2135" spans="1:20" x14ac:dyDescent="0.3">
      <c r="A2135" t="s">
        <v>4289</v>
      </c>
      <c r="B2135" s="171" t="s">
        <v>4290</v>
      </c>
      <c r="C2135" s="171" t="s">
        <v>137</v>
      </c>
      <c r="D2135" s="171" t="s">
        <v>80</v>
      </c>
      <c r="E2135" s="11">
        <v>41609</v>
      </c>
      <c r="H2135" t="e">
        <v>#DIV/0!</v>
      </c>
      <c r="K2135" t="e">
        <v>#DIV/0!</v>
      </c>
      <c r="M2135" t="e">
        <v>#DIV/0!</v>
      </c>
      <c r="R2135" t="e">
        <v>#DIV/0!</v>
      </c>
    </row>
    <row r="2136" spans="1:20" x14ac:dyDescent="0.3">
      <c r="A2136" t="s">
        <v>4291</v>
      </c>
      <c r="B2136" s="171" t="s">
        <v>4292</v>
      </c>
      <c r="C2136" s="171" t="s">
        <v>140</v>
      </c>
      <c r="D2136" s="171" t="s">
        <v>4</v>
      </c>
      <c r="E2136" s="11">
        <v>41609</v>
      </c>
      <c r="H2136" t="e">
        <v>#DIV/0!</v>
      </c>
      <c r="K2136" t="e">
        <v>#DIV/0!</v>
      </c>
      <c r="M2136" t="e">
        <v>#DIV/0!</v>
      </c>
      <c r="R2136" t="e">
        <v>#DIV/0!</v>
      </c>
    </row>
    <row r="2137" spans="1:20" x14ac:dyDescent="0.3">
      <c r="A2137" t="s">
        <v>4293</v>
      </c>
      <c r="B2137" s="171" t="s">
        <v>4294</v>
      </c>
      <c r="C2137" s="171" t="s">
        <v>167</v>
      </c>
      <c r="D2137" s="171" t="s">
        <v>80</v>
      </c>
      <c r="E2137" s="11">
        <v>41609</v>
      </c>
      <c r="H2137" t="e">
        <v>#DIV/0!</v>
      </c>
      <c r="K2137" t="e">
        <v>#DIV/0!</v>
      </c>
      <c r="M2137" t="e">
        <v>#DIV/0!</v>
      </c>
      <c r="R2137" t="e">
        <v>#DIV/0!</v>
      </c>
    </row>
    <row r="2138" spans="1:20" x14ac:dyDescent="0.3">
      <c r="A2138" t="s">
        <v>4295</v>
      </c>
      <c r="B2138" s="171" t="s">
        <v>4296</v>
      </c>
      <c r="C2138" s="171" t="s">
        <v>170</v>
      </c>
      <c r="D2138" s="171" t="s">
        <v>4</v>
      </c>
      <c r="E2138" s="11">
        <v>41609</v>
      </c>
      <c r="H2138" t="e">
        <v>#DIV/0!</v>
      </c>
      <c r="K2138" t="e">
        <v>#DIV/0!</v>
      </c>
      <c r="M2138" t="e">
        <v>#DIV/0!</v>
      </c>
      <c r="R2138" t="e">
        <v>#DIV/0!</v>
      </c>
    </row>
    <row r="2139" spans="1:20" x14ac:dyDescent="0.3">
      <c r="A2139" t="s">
        <v>4297</v>
      </c>
      <c r="B2139" s="171" t="s">
        <v>4298</v>
      </c>
      <c r="C2139" s="171" t="s">
        <v>179</v>
      </c>
      <c r="D2139" s="171" t="s">
        <v>80</v>
      </c>
      <c r="E2139" s="11">
        <v>41609</v>
      </c>
      <c r="H2139" t="e">
        <v>#DIV/0!</v>
      </c>
      <c r="K2139" t="e">
        <v>#DIV/0!</v>
      </c>
      <c r="M2139" t="e">
        <v>#DIV/0!</v>
      </c>
      <c r="R2139" t="e">
        <v>#DIV/0!</v>
      </c>
      <c r="T2139">
        <v>0.85714285714285721</v>
      </c>
    </row>
    <row r="2140" spans="1:20" x14ac:dyDescent="0.3">
      <c r="A2140" t="s">
        <v>4299</v>
      </c>
      <c r="B2140" s="171" t="s">
        <v>4300</v>
      </c>
      <c r="C2140" s="171" t="s">
        <v>182</v>
      </c>
      <c r="D2140" s="171" t="s">
        <v>4</v>
      </c>
      <c r="E2140" s="11">
        <v>41609</v>
      </c>
      <c r="H2140" t="e">
        <v>#DIV/0!</v>
      </c>
      <c r="K2140" t="e">
        <v>#DIV/0!</v>
      </c>
      <c r="M2140" t="e">
        <v>#DIV/0!</v>
      </c>
      <c r="R2140" t="e">
        <v>#DIV/0!</v>
      </c>
      <c r="T2140">
        <v>1.1837499999999999</v>
      </c>
    </row>
    <row r="2141" spans="1:20" x14ac:dyDescent="0.3">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4309</v>
      </c>
      <c r="B2145" s="171" t="s">
        <v>4310</v>
      </c>
      <c r="C2145" s="171" t="s">
        <v>197</v>
      </c>
      <c r="D2145" s="171" t="s">
        <v>4</v>
      </c>
      <c r="E2145" s="11">
        <v>41609</v>
      </c>
      <c r="H2145" t="e">
        <v>#DIV/0!</v>
      </c>
      <c r="K2145" t="e">
        <v>#DIV/0!</v>
      </c>
      <c r="M2145" t="e">
        <v>#DIV/0!</v>
      </c>
      <c r="R2145" t="e">
        <v>#DIV/0!</v>
      </c>
    </row>
    <row r="2146" spans="1:20" x14ac:dyDescent="0.3">
      <c r="A2146" t="s">
        <v>4311</v>
      </c>
      <c r="B2146" s="171" t="s">
        <v>4312</v>
      </c>
      <c r="C2146" s="171" t="s">
        <v>209</v>
      </c>
      <c r="D2146" s="171" t="s">
        <v>4</v>
      </c>
      <c r="E2146" s="11">
        <v>41609</v>
      </c>
      <c r="H2146" t="e">
        <v>#DIV/0!</v>
      </c>
      <c r="K2146" t="e">
        <v>#DIV/0!</v>
      </c>
      <c r="M2146" t="e">
        <v>#DIV/0!</v>
      </c>
      <c r="R2146" t="e">
        <v>#DIV/0!</v>
      </c>
    </row>
    <row r="2147" spans="1:20" x14ac:dyDescent="0.3">
      <c r="A2147" t="s">
        <v>4313</v>
      </c>
      <c r="B2147" s="171" t="s">
        <v>4314</v>
      </c>
      <c r="C2147" s="171" t="s">
        <v>212</v>
      </c>
      <c r="D2147" s="171" t="s">
        <v>80</v>
      </c>
      <c r="E2147" s="11">
        <v>41609</v>
      </c>
      <c r="H2147" t="e">
        <v>#DIV/0!</v>
      </c>
      <c r="K2147" t="e">
        <v>#DIV/0!</v>
      </c>
      <c r="M2147" t="e">
        <v>#DIV/0!</v>
      </c>
      <c r="R2147" t="e">
        <v>#DIV/0!</v>
      </c>
      <c r="T2147">
        <v>0.88927417184265012</v>
      </c>
    </row>
    <row r="2148" spans="1:20" x14ac:dyDescent="0.3">
      <c r="A2148" t="s">
        <v>4315</v>
      </c>
      <c r="B2148" s="171" t="s">
        <v>4316</v>
      </c>
      <c r="C2148" s="171" t="s">
        <v>215</v>
      </c>
      <c r="D2148" s="171" t="s">
        <v>80</v>
      </c>
      <c r="E2148" s="11">
        <v>41609</v>
      </c>
      <c r="H2148" t="e">
        <v>#DIV/0!</v>
      </c>
      <c r="K2148" t="e">
        <v>#DIV/0!</v>
      </c>
      <c r="M2148" t="e">
        <v>#DIV/0!</v>
      </c>
      <c r="R2148" t="e">
        <v>#DIV/0!</v>
      </c>
    </row>
    <row r="2149" spans="1:20" x14ac:dyDescent="0.3">
      <c r="A2149" t="s">
        <v>4317</v>
      </c>
      <c r="B2149" s="171" t="s">
        <v>4318</v>
      </c>
      <c r="C2149" s="171" t="s">
        <v>218</v>
      </c>
      <c r="D2149" s="171" t="s">
        <v>4</v>
      </c>
      <c r="E2149" s="11">
        <v>41609</v>
      </c>
      <c r="H2149" t="e">
        <v>#DIV/0!</v>
      </c>
      <c r="K2149" t="e">
        <v>#DIV/0!</v>
      </c>
      <c r="M2149" t="e">
        <v>#DIV/0!</v>
      </c>
      <c r="R2149" t="e">
        <v>#DIV/0!</v>
      </c>
    </row>
    <row r="2150" spans="1:20" x14ac:dyDescent="0.3">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4325</v>
      </c>
      <c r="B2153" s="171" t="s">
        <v>4326</v>
      </c>
      <c r="C2153" s="171" t="s">
        <v>143</v>
      </c>
      <c r="D2153" s="171" t="s">
        <v>4</v>
      </c>
      <c r="E2153" s="11">
        <v>41609</v>
      </c>
      <c r="H2153" t="e">
        <v>#DIV/0!</v>
      </c>
      <c r="K2153" t="e">
        <v>#DIV/0!</v>
      </c>
      <c r="M2153" t="e">
        <v>#DIV/0!</v>
      </c>
      <c r="N2153">
        <v>0</v>
      </c>
      <c r="R2153" t="e">
        <v>#DIV/0!</v>
      </c>
      <c r="T2153">
        <v>0.82499999999999996</v>
      </c>
    </row>
    <row r="2154" spans="1:20" x14ac:dyDescent="0.3">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x14ac:dyDescent="0.3">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x14ac:dyDescent="0.3">
      <c r="A2158" t="s">
        <v>4335</v>
      </c>
      <c r="B2158" s="171" t="s">
        <v>4336</v>
      </c>
      <c r="C2158" s="171" t="s">
        <v>158</v>
      </c>
      <c r="D2158" s="171" t="s">
        <v>4</v>
      </c>
      <c r="E2158" s="11">
        <v>41609</v>
      </c>
      <c r="H2158" t="e">
        <v>#DIV/0!</v>
      </c>
      <c r="K2158" t="e">
        <v>#DIV/0!</v>
      </c>
      <c r="M2158" t="e">
        <v>#DIV/0!</v>
      </c>
      <c r="P2158">
        <v>0</v>
      </c>
      <c r="Q2158">
        <v>0</v>
      </c>
      <c r="R2158" t="e">
        <v>#DIV/0!</v>
      </c>
      <c r="T2158">
        <v>1.06</v>
      </c>
    </row>
    <row r="2159" spans="1:20" x14ac:dyDescent="0.3">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x14ac:dyDescent="0.3">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x14ac:dyDescent="0.3">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4347</v>
      </c>
      <c r="B2164" s="171" t="s">
        <v>4348</v>
      </c>
      <c r="C2164" s="171" t="s">
        <v>230</v>
      </c>
      <c r="D2164" s="171" t="s">
        <v>4</v>
      </c>
      <c r="E2164" s="11">
        <v>41609</v>
      </c>
      <c r="H2164" t="e">
        <v>#DIV/0!</v>
      </c>
      <c r="K2164" t="e">
        <v>#DIV/0!</v>
      </c>
      <c r="M2164" t="e">
        <v>#DIV/0!</v>
      </c>
      <c r="R2164" t="e">
        <v>#DIV/0!</v>
      </c>
      <c r="T2164">
        <v>1</v>
      </c>
    </row>
    <row r="2165" spans="1:20" x14ac:dyDescent="0.3">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x14ac:dyDescent="0.3">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x14ac:dyDescent="0.3">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4377</v>
      </c>
      <c r="B2179" s="171" t="s">
        <v>4378</v>
      </c>
      <c r="C2179" s="171" t="s">
        <v>116</v>
      </c>
      <c r="D2179" s="171" t="s">
        <v>80</v>
      </c>
      <c r="E2179" s="11">
        <v>41640</v>
      </c>
      <c r="H2179" t="e">
        <v>#DIV/0!</v>
      </c>
      <c r="K2179" t="e">
        <v>#DIV/0!</v>
      </c>
      <c r="M2179" t="e">
        <v>#DIV/0!</v>
      </c>
      <c r="R2179" t="e">
        <v>#DIV/0!</v>
      </c>
    </row>
    <row r="2180" spans="1:20" x14ac:dyDescent="0.3">
      <c r="A2180" t="s">
        <v>4379</v>
      </c>
      <c r="B2180" s="171" t="s">
        <v>4380</v>
      </c>
      <c r="C2180" s="171" t="s">
        <v>119</v>
      </c>
      <c r="D2180" s="171" t="s">
        <v>80</v>
      </c>
      <c r="E2180" s="11">
        <v>41640</v>
      </c>
      <c r="H2180" t="e">
        <v>#DIV/0!</v>
      </c>
      <c r="K2180" t="e">
        <v>#DIV/0!</v>
      </c>
      <c r="M2180" t="e">
        <v>#DIV/0!</v>
      </c>
      <c r="R2180" t="e">
        <v>#DIV/0!</v>
      </c>
      <c r="T2180">
        <v>0.82499999999999996</v>
      </c>
    </row>
    <row r="2181" spans="1:20" x14ac:dyDescent="0.3">
      <c r="A2181" t="s">
        <v>4381</v>
      </c>
      <c r="B2181" s="171" t="s">
        <v>4382</v>
      </c>
      <c r="C2181" s="171" t="s">
        <v>122</v>
      </c>
      <c r="D2181" s="171" t="s">
        <v>4</v>
      </c>
      <c r="E2181" s="11">
        <v>41640</v>
      </c>
      <c r="H2181" t="e">
        <v>#DIV/0!</v>
      </c>
      <c r="K2181" t="e">
        <v>#DIV/0!</v>
      </c>
      <c r="M2181" t="e">
        <v>#DIV/0!</v>
      </c>
      <c r="R2181" t="e">
        <v>#DIV/0!</v>
      </c>
      <c r="T2181">
        <v>1.1499999999999999</v>
      </c>
    </row>
    <row r="2182" spans="1:20" x14ac:dyDescent="0.3">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4389</v>
      </c>
      <c r="B2185" s="171" t="s">
        <v>4390</v>
      </c>
      <c r="C2185" s="171" t="s">
        <v>134</v>
      </c>
      <c r="D2185" s="171" t="s">
        <v>80</v>
      </c>
      <c r="E2185" s="11">
        <v>41640</v>
      </c>
      <c r="H2185" t="e">
        <v>#DIV/0!</v>
      </c>
      <c r="K2185" t="e">
        <v>#DIV/0!</v>
      </c>
      <c r="M2185" t="e">
        <v>#DIV/0!</v>
      </c>
      <c r="N2185">
        <v>0</v>
      </c>
      <c r="R2185" t="e">
        <v>#DIV/0!</v>
      </c>
    </row>
    <row r="2186" spans="1:20" x14ac:dyDescent="0.3">
      <c r="A2186" t="s">
        <v>4391</v>
      </c>
      <c r="B2186" s="171" t="s">
        <v>4392</v>
      </c>
      <c r="C2186" s="171" t="s">
        <v>137</v>
      </c>
      <c r="D2186" s="171" t="s">
        <v>4</v>
      </c>
      <c r="E2186" s="11">
        <v>41640</v>
      </c>
      <c r="H2186" t="e">
        <v>#DIV/0!</v>
      </c>
      <c r="K2186" t="e">
        <v>#DIV/0!</v>
      </c>
      <c r="M2186" t="e">
        <v>#DIV/0!</v>
      </c>
      <c r="R2186" t="e">
        <v>#DIV/0!</v>
      </c>
    </row>
    <row r="2187" spans="1:20" x14ac:dyDescent="0.3">
      <c r="A2187" t="s">
        <v>4393</v>
      </c>
      <c r="B2187" s="171" t="s">
        <v>4394</v>
      </c>
      <c r="C2187" s="171" t="s">
        <v>140</v>
      </c>
      <c r="D2187" s="171" t="s">
        <v>80</v>
      </c>
      <c r="E2187" s="11">
        <v>41640</v>
      </c>
      <c r="H2187" t="e">
        <v>#DIV/0!</v>
      </c>
      <c r="K2187" t="e">
        <v>#DIV/0!</v>
      </c>
      <c r="M2187" t="e">
        <v>#DIV/0!</v>
      </c>
      <c r="R2187" t="e">
        <v>#DIV/0!</v>
      </c>
    </row>
    <row r="2188" spans="1:20" x14ac:dyDescent="0.3">
      <c r="A2188" t="s">
        <v>4395</v>
      </c>
      <c r="B2188" s="171" t="s">
        <v>4396</v>
      </c>
      <c r="C2188" s="171" t="s">
        <v>143</v>
      </c>
      <c r="D2188" s="171" t="s">
        <v>80</v>
      </c>
      <c r="E2188" s="11">
        <v>41640</v>
      </c>
      <c r="H2188" t="e">
        <v>#DIV/0!</v>
      </c>
      <c r="K2188" t="e">
        <v>#DIV/0!</v>
      </c>
      <c r="M2188" t="e">
        <v>#DIV/0!</v>
      </c>
      <c r="N2188">
        <v>0</v>
      </c>
      <c r="R2188" t="e">
        <v>#DIV/0!</v>
      </c>
    </row>
    <row r="2189" spans="1:20" x14ac:dyDescent="0.3">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4399</v>
      </c>
      <c r="B2190" s="171" t="s">
        <v>4400</v>
      </c>
      <c r="C2190" s="171" t="s">
        <v>149</v>
      </c>
      <c r="D2190" s="171" t="s">
        <v>80</v>
      </c>
      <c r="E2190" s="11">
        <v>41640</v>
      </c>
      <c r="H2190" t="e">
        <v>#DIV/0!</v>
      </c>
      <c r="K2190" t="e">
        <v>#DIV/0!</v>
      </c>
      <c r="M2190" t="e">
        <v>#DIV/0!</v>
      </c>
      <c r="R2190" t="e">
        <v>#DIV/0!</v>
      </c>
      <c r="T2190">
        <v>0.73333333333333328</v>
      </c>
    </row>
    <row r="2191" spans="1:20" x14ac:dyDescent="0.3">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x14ac:dyDescent="0.3">
      <c r="A2193" t="s">
        <v>4405</v>
      </c>
      <c r="B2193" s="171" t="s">
        <v>4406</v>
      </c>
      <c r="C2193" s="171" t="s">
        <v>158</v>
      </c>
      <c r="D2193" s="171" t="s">
        <v>80</v>
      </c>
      <c r="E2193" s="11">
        <v>41640</v>
      </c>
      <c r="H2193" t="e">
        <v>#DIV/0!</v>
      </c>
      <c r="K2193" t="e">
        <v>#DIV/0!</v>
      </c>
      <c r="M2193" t="e">
        <v>#DIV/0!</v>
      </c>
      <c r="R2193" t="e">
        <v>#DIV/0!</v>
      </c>
      <c r="T2193">
        <v>0.71599999999999997</v>
      </c>
    </row>
    <row r="2194" spans="1:20" x14ac:dyDescent="0.3">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x14ac:dyDescent="0.3">
      <c r="A2196" t="s">
        <v>4411</v>
      </c>
      <c r="B2196" s="171" t="s">
        <v>4412</v>
      </c>
      <c r="C2196" s="171" t="s">
        <v>167</v>
      </c>
      <c r="D2196" s="171" t="s">
        <v>4</v>
      </c>
      <c r="E2196" s="11">
        <v>41640</v>
      </c>
      <c r="H2196" t="e">
        <v>#DIV/0!</v>
      </c>
      <c r="K2196" t="e">
        <v>#DIV/0!</v>
      </c>
      <c r="M2196" t="e">
        <v>#DIV/0!</v>
      </c>
      <c r="R2196" t="e">
        <v>#DIV/0!</v>
      </c>
    </row>
    <row r="2197" spans="1:20" x14ac:dyDescent="0.3">
      <c r="A2197" t="s">
        <v>4413</v>
      </c>
      <c r="B2197" s="171" t="s">
        <v>4414</v>
      </c>
      <c r="C2197" s="171" t="s">
        <v>170</v>
      </c>
      <c r="D2197" s="171" t="s">
        <v>80</v>
      </c>
      <c r="E2197" s="11">
        <v>41640</v>
      </c>
      <c r="H2197" t="e">
        <v>#DIV/0!</v>
      </c>
      <c r="K2197" t="e">
        <v>#DIV/0!</v>
      </c>
      <c r="M2197" t="e">
        <v>#DIV/0!</v>
      </c>
      <c r="R2197" t="e">
        <v>#DIV/0!</v>
      </c>
    </row>
    <row r="2198" spans="1:20" x14ac:dyDescent="0.3">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x14ac:dyDescent="0.3">
      <c r="A2200" t="s">
        <v>4419</v>
      </c>
      <c r="B2200" s="171" t="s">
        <v>4420</v>
      </c>
      <c r="C2200" s="171" t="s">
        <v>179</v>
      </c>
      <c r="D2200" s="171" t="s">
        <v>4</v>
      </c>
      <c r="E2200" s="11">
        <v>41640</v>
      </c>
      <c r="H2200" t="e">
        <v>#DIV/0!</v>
      </c>
      <c r="K2200" t="e">
        <v>#DIV/0!</v>
      </c>
      <c r="M2200" t="e">
        <v>#DIV/0!</v>
      </c>
      <c r="R2200" t="e">
        <v>#DIV/0!</v>
      </c>
    </row>
    <row r="2201" spans="1:20" x14ac:dyDescent="0.3">
      <c r="A2201" t="s">
        <v>4421</v>
      </c>
      <c r="B2201" s="171" t="s">
        <v>4422</v>
      </c>
      <c r="C2201" s="171" t="s">
        <v>182</v>
      </c>
      <c r="D2201" s="171" t="s">
        <v>80</v>
      </c>
      <c r="E2201" s="11">
        <v>41640</v>
      </c>
      <c r="H2201" t="e">
        <v>#DIV/0!</v>
      </c>
      <c r="K2201" t="e">
        <v>#DIV/0!</v>
      </c>
      <c r="M2201" t="e">
        <v>#DIV/0!</v>
      </c>
      <c r="R2201" t="e">
        <v>#DIV/0!</v>
      </c>
    </row>
    <row r="2202" spans="1:20" x14ac:dyDescent="0.3">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4431</v>
      </c>
      <c r="B2206" s="171" t="s">
        <v>4432</v>
      </c>
      <c r="C2206" s="171" t="s">
        <v>197</v>
      </c>
      <c r="D2206" s="171" t="s">
        <v>80</v>
      </c>
      <c r="E2206" s="11">
        <v>41640</v>
      </c>
      <c r="H2206" t="e">
        <v>#DIV/0!</v>
      </c>
      <c r="K2206" t="e">
        <v>#DIV/0!</v>
      </c>
      <c r="M2206" t="e">
        <v>#DIV/0!</v>
      </c>
      <c r="R2206" t="e">
        <v>#DIV/0!</v>
      </c>
      <c r="T2206">
        <v>1.1000000000000001</v>
      </c>
    </row>
    <row r="2207" spans="1:20" x14ac:dyDescent="0.3">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x14ac:dyDescent="0.3">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4439</v>
      </c>
      <c r="B2210" s="171" t="s">
        <v>4440</v>
      </c>
      <c r="C2210" s="171" t="s">
        <v>209</v>
      </c>
      <c r="D2210" s="171" t="s">
        <v>80</v>
      </c>
      <c r="E2210" s="11">
        <v>41640</v>
      </c>
      <c r="H2210" t="e">
        <v>#DIV/0!</v>
      </c>
      <c r="K2210" t="e">
        <v>#DIV/0!</v>
      </c>
      <c r="M2210" t="e">
        <v>#DIV/0!</v>
      </c>
      <c r="R2210" t="e">
        <v>#DIV/0!</v>
      </c>
      <c r="T2210">
        <v>0.9</v>
      </c>
    </row>
    <row r="2211" spans="1:20" x14ac:dyDescent="0.3">
      <c r="A2211" t="s">
        <v>4441</v>
      </c>
      <c r="B2211" s="171" t="s">
        <v>4442</v>
      </c>
      <c r="C2211" s="171" t="s">
        <v>212</v>
      </c>
      <c r="D2211" s="171" t="s">
        <v>4</v>
      </c>
      <c r="E2211" s="11">
        <v>41640</v>
      </c>
      <c r="H2211" t="e">
        <v>#DIV/0!</v>
      </c>
      <c r="K2211" t="e">
        <v>#DIV/0!</v>
      </c>
      <c r="M2211" t="e">
        <v>#DIV/0!</v>
      </c>
      <c r="R2211" t="e">
        <v>#DIV/0!</v>
      </c>
      <c r="T2211">
        <v>0.7</v>
      </c>
    </row>
    <row r="2212" spans="1:20" x14ac:dyDescent="0.3">
      <c r="A2212" t="s">
        <v>4443</v>
      </c>
      <c r="B2212" s="171" t="s">
        <v>4444</v>
      </c>
      <c r="C2212" s="171" t="s">
        <v>215</v>
      </c>
      <c r="D2212" s="171" t="s">
        <v>4</v>
      </c>
      <c r="E2212" s="11">
        <v>41640</v>
      </c>
      <c r="H2212" t="e">
        <v>#DIV/0!</v>
      </c>
      <c r="K2212" t="e">
        <v>#DIV/0!</v>
      </c>
      <c r="M2212" t="e">
        <v>#DIV/0!</v>
      </c>
      <c r="R2212" t="e">
        <v>#DIV/0!</v>
      </c>
    </row>
    <row r="2213" spans="1:20" x14ac:dyDescent="0.3">
      <c r="A2213" t="s">
        <v>4445</v>
      </c>
      <c r="B2213" s="171" t="s">
        <v>4446</v>
      </c>
      <c r="C2213" s="171" t="s">
        <v>218</v>
      </c>
      <c r="D2213" s="171" t="s">
        <v>80</v>
      </c>
      <c r="E2213" s="11">
        <v>41640</v>
      </c>
      <c r="H2213" t="e">
        <v>#DIV/0!</v>
      </c>
      <c r="K2213" t="e">
        <v>#DIV/0!</v>
      </c>
      <c r="M2213" t="e">
        <v>#DIV/0!</v>
      </c>
      <c r="R2213" t="e">
        <v>#DIV/0!</v>
      </c>
      <c r="T2213">
        <v>0.66666666666666663</v>
      </c>
    </row>
    <row r="2214" spans="1:20" x14ac:dyDescent="0.3">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x14ac:dyDescent="0.3">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x14ac:dyDescent="0.3">
      <c r="A2217" t="s">
        <v>4453</v>
      </c>
      <c r="B2217" s="171" t="s">
        <v>4454</v>
      </c>
      <c r="C2217" s="171" t="s">
        <v>230</v>
      </c>
      <c r="D2217" s="171" t="s">
        <v>80</v>
      </c>
      <c r="E2217" s="11">
        <v>41640</v>
      </c>
      <c r="H2217" t="e">
        <v>#DIV/0!</v>
      </c>
      <c r="K2217" t="e">
        <v>#DIV/0!</v>
      </c>
      <c r="M2217" t="e">
        <v>#DIV/0!</v>
      </c>
      <c r="R2217" t="e">
        <v>#DIV/0!</v>
      </c>
    </row>
    <row r="2218" spans="1:20" x14ac:dyDescent="0.3">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x14ac:dyDescent="0.3">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x14ac:dyDescent="0.3">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4481</v>
      </c>
      <c r="B2231" s="171" t="s">
        <v>4482</v>
      </c>
      <c r="C2231" s="171" t="s">
        <v>116</v>
      </c>
      <c r="D2231" s="171" t="s">
        <v>4</v>
      </c>
      <c r="E2231" s="11">
        <v>41640</v>
      </c>
      <c r="H2231" t="e">
        <v>#DIV/0!</v>
      </c>
      <c r="K2231" t="e">
        <v>#DIV/0!</v>
      </c>
      <c r="M2231" t="e">
        <v>#DIV/0!</v>
      </c>
      <c r="R2231" t="e">
        <v>#DIV/0!</v>
      </c>
      <c r="T2231" t="e">
        <v>#DIV/0!</v>
      </c>
    </row>
    <row r="2232" spans="1:20" x14ac:dyDescent="0.3">
      <c r="A2232" t="s">
        <v>4483</v>
      </c>
      <c r="B2232" s="171" t="s">
        <v>4484</v>
      </c>
      <c r="C2232" s="171" t="s">
        <v>119</v>
      </c>
      <c r="D2232" s="171" t="s">
        <v>4</v>
      </c>
      <c r="E2232" s="11">
        <v>41640</v>
      </c>
      <c r="H2232" t="e">
        <v>#DIV/0!</v>
      </c>
      <c r="K2232" t="e">
        <v>#DIV/0!</v>
      </c>
      <c r="M2232" t="e">
        <v>#DIV/0!</v>
      </c>
      <c r="R2232" t="e">
        <v>#DIV/0!</v>
      </c>
      <c r="T2232" t="e">
        <v>#DIV/0!</v>
      </c>
    </row>
    <row r="2233" spans="1:20" x14ac:dyDescent="0.3">
      <c r="A2233" t="s">
        <v>4485</v>
      </c>
      <c r="B2233" s="171" t="s">
        <v>4486</v>
      </c>
      <c r="C2233" s="171" t="s">
        <v>122</v>
      </c>
      <c r="D2233" s="171" t="s">
        <v>80</v>
      </c>
      <c r="E2233" s="11">
        <v>41640</v>
      </c>
      <c r="H2233" t="e">
        <v>#DIV/0!</v>
      </c>
      <c r="K2233" t="e">
        <v>#DIV/0!</v>
      </c>
      <c r="M2233" t="e">
        <v>#DIV/0!</v>
      </c>
      <c r="R2233" t="e">
        <v>#DIV/0!</v>
      </c>
      <c r="T2233">
        <v>1</v>
      </c>
    </row>
    <row r="2234" spans="1:20" x14ac:dyDescent="0.3">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4493</v>
      </c>
      <c r="B2237" s="171" t="s">
        <v>4494</v>
      </c>
      <c r="C2237" s="171" t="s">
        <v>134</v>
      </c>
      <c r="D2237" s="171" t="s">
        <v>4</v>
      </c>
      <c r="E2237" s="11">
        <v>41640</v>
      </c>
      <c r="H2237" t="e">
        <v>#DIV/0!</v>
      </c>
      <c r="K2237" t="e">
        <v>#DIV/0!</v>
      </c>
      <c r="M2237" t="e">
        <v>#DIV/0!</v>
      </c>
      <c r="N2237">
        <v>0</v>
      </c>
      <c r="R2237" t="e">
        <v>#DIV/0!</v>
      </c>
      <c r="T2237">
        <v>0.55555555555555558</v>
      </c>
    </row>
    <row r="2238" spans="1:20" x14ac:dyDescent="0.3">
      <c r="A2238" t="s">
        <v>4495</v>
      </c>
      <c r="B2238" s="171" t="s">
        <v>4496</v>
      </c>
      <c r="C2238" s="171" t="s">
        <v>137</v>
      </c>
      <c r="D2238" s="171" t="s">
        <v>80</v>
      </c>
      <c r="E2238" s="11">
        <v>41640</v>
      </c>
      <c r="H2238" t="e">
        <v>#DIV/0!</v>
      </c>
      <c r="K2238" t="e">
        <v>#DIV/0!</v>
      </c>
      <c r="M2238" t="e">
        <v>#DIV/0!</v>
      </c>
      <c r="R2238" t="e">
        <v>#DIV/0!</v>
      </c>
      <c r="T2238">
        <v>0</v>
      </c>
    </row>
    <row r="2239" spans="1:20" x14ac:dyDescent="0.3">
      <c r="A2239" t="s">
        <v>4497</v>
      </c>
      <c r="B2239" s="171" t="s">
        <v>4498</v>
      </c>
      <c r="C2239" s="171" t="s">
        <v>140</v>
      </c>
      <c r="D2239" s="171" t="s">
        <v>4</v>
      </c>
      <c r="E2239" s="11">
        <v>41640</v>
      </c>
      <c r="H2239" t="e">
        <v>#DIV/0!</v>
      </c>
      <c r="K2239" t="e">
        <v>#DIV/0!</v>
      </c>
      <c r="M2239" t="e">
        <v>#DIV/0!</v>
      </c>
      <c r="R2239" t="e">
        <v>#DIV/0!</v>
      </c>
      <c r="T2239" t="e">
        <v>#DIV/0!</v>
      </c>
    </row>
    <row r="2240" spans="1:20" x14ac:dyDescent="0.3">
      <c r="A2240" t="s">
        <v>4499</v>
      </c>
      <c r="B2240" s="171" t="s">
        <v>4500</v>
      </c>
      <c r="C2240" s="171" t="s">
        <v>167</v>
      </c>
      <c r="D2240" s="171" t="s">
        <v>80</v>
      </c>
      <c r="E2240" s="11">
        <v>41640</v>
      </c>
      <c r="H2240" t="e">
        <v>#DIV/0!</v>
      </c>
      <c r="K2240" t="e">
        <v>#DIV/0!</v>
      </c>
      <c r="M2240" t="e">
        <v>#DIV/0!</v>
      </c>
      <c r="R2240" t="e">
        <v>#DIV/0!</v>
      </c>
      <c r="T2240" t="e">
        <v>#DIV/0!</v>
      </c>
    </row>
    <row r="2241" spans="1:20" x14ac:dyDescent="0.3">
      <c r="A2241" t="s">
        <v>4501</v>
      </c>
      <c r="B2241" s="171" t="s">
        <v>4502</v>
      </c>
      <c r="C2241" s="171" t="s">
        <v>170</v>
      </c>
      <c r="D2241" s="171" t="s">
        <v>4</v>
      </c>
      <c r="E2241" s="11">
        <v>41640</v>
      </c>
      <c r="H2241" t="e">
        <v>#DIV/0!</v>
      </c>
      <c r="K2241" t="e">
        <v>#DIV/0!</v>
      </c>
      <c r="M2241" t="e">
        <v>#DIV/0!</v>
      </c>
      <c r="R2241" t="e">
        <v>#DIV/0!</v>
      </c>
      <c r="T2241" t="e">
        <v>#DIV/0!</v>
      </c>
    </row>
    <row r="2242" spans="1:20" x14ac:dyDescent="0.3">
      <c r="A2242" t="s">
        <v>4503</v>
      </c>
      <c r="B2242" s="171" t="s">
        <v>4504</v>
      </c>
      <c r="C2242" s="171" t="s">
        <v>179</v>
      </c>
      <c r="D2242" s="171" t="s">
        <v>80</v>
      </c>
      <c r="E2242" s="11">
        <v>41640</v>
      </c>
      <c r="H2242" t="e">
        <v>#DIV/0!</v>
      </c>
      <c r="K2242" t="e">
        <v>#DIV/0!</v>
      </c>
      <c r="M2242" t="e">
        <v>#DIV/0!</v>
      </c>
      <c r="R2242" t="e">
        <v>#DIV/0!</v>
      </c>
      <c r="T2242" t="e">
        <v>#DIV/0!</v>
      </c>
    </row>
    <row r="2243" spans="1:20" x14ac:dyDescent="0.3">
      <c r="A2243" t="s">
        <v>4505</v>
      </c>
      <c r="B2243" s="171" t="s">
        <v>4506</v>
      </c>
      <c r="C2243" s="171" t="s">
        <v>182</v>
      </c>
      <c r="D2243" s="171" t="s">
        <v>4</v>
      </c>
      <c r="E2243" s="11">
        <v>41640</v>
      </c>
      <c r="H2243" t="e">
        <v>#DIV/0!</v>
      </c>
      <c r="K2243" t="e">
        <v>#DIV/0!</v>
      </c>
      <c r="M2243" t="e">
        <v>#DIV/0!</v>
      </c>
      <c r="R2243" t="e">
        <v>#DIV/0!</v>
      </c>
      <c r="T2243" t="e">
        <v>#DIV/0!</v>
      </c>
    </row>
    <row r="2244" spans="1:20" x14ac:dyDescent="0.3">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x14ac:dyDescent="0.3">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4515</v>
      </c>
      <c r="B2248" s="171" t="s">
        <v>4516</v>
      </c>
      <c r="C2248" s="171" t="s">
        <v>197</v>
      </c>
      <c r="D2248" s="171" t="s">
        <v>4</v>
      </c>
      <c r="E2248" s="11">
        <v>41640</v>
      </c>
      <c r="H2248" t="e">
        <v>#DIV/0!</v>
      </c>
      <c r="K2248" t="e">
        <v>#DIV/0!</v>
      </c>
      <c r="M2248" t="e">
        <v>#DIV/0!</v>
      </c>
      <c r="R2248" t="e">
        <v>#DIV/0!</v>
      </c>
      <c r="T2248">
        <v>0.76700000000000002</v>
      </c>
    </row>
    <row r="2249" spans="1:20" x14ac:dyDescent="0.3">
      <c r="A2249" t="s">
        <v>4517</v>
      </c>
      <c r="B2249" s="171" t="s">
        <v>4518</v>
      </c>
      <c r="C2249" s="171" t="s">
        <v>209</v>
      </c>
      <c r="D2249" s="171" t="s">
        <v>4</v>
      </c>
      <c r="E2249" s="11">
        <v>41640</v>
      </c>
      <c r="H2249" t="e">
        <v>#DIV/0!</v>
      </c>
      <c r="K2249" t="e">
        <v>#DIV/0!</v>
      </c>
      <c r="M2249" t="e">
        <v>#DIV/0!</v>
      </c>
      <c r="R2249" t="e">
        <v>#DIV/0!</v>
      </c>
      <c r="T2249">
        <v>0.98</v>
      </c>
    </row>
    <row r="2250" spans="1:20" x14ac:dyDescent="0.3">
      <c r="A2250" t="s">
        <v>4519</v>
      </c>
      <c r="B2250" s="171" t="s">
        <v>4520</v>
      </c>
      <c r="C2250" s="171" t="s">
        <v>212</v>
      </c>
      <c r="D2250" s="171" t="s">
        <v>80</v>
      </c>
      <c r="E2250" s="11">
        <v>41640</v>
      </c>
      <c r="H2250" t="e">
        <v>#DIV/0!</v>
      </c>
      <c r="K2250" t="e">
        <v>#DIV/0!</v>
      </c>
      <c r="M2250" t="e">
        <v>#DIV/0!</v>
      </c>
      <c r="R2250" t="e">
        <v>#DIV/0!</v>
      </c>
      <c r="T2250">
        <v>0.48055555555555557</v>
      </c>
    </row>
    <row r="2251" spans="1:20" x14ac:dyDescent="0.3">
      <c r="A2251" t="s">
        <v>4521</v>
      </c>
      <c r="B2251" s="171" t="s">
        <v>4522</v>
      </c>
      <c r="C2251" s="171" t="s">
        <v>215</v>
      </c>
      <c r="D2251" s="171" t="s">
        <v>80</v>
      </c>
      <c r="E2251" s="11">
        <v>41640</v>
      </c>
      <c r="H2251" t="e">
        <v>#DIV/0!</v>
      </c>
      <c r="K2251" t="e">
        <v>#DIV/0!</v>
      </c>
      <c r="M2251" t="e">
        <v>#DIV/0!</v>
      </c>
      <c r="R2251" t="e">
        <v>#DIV/0!</v>
      </c>
    </row>
    <row r="2252" spans="1:20" x14ac:dyDescent="0.3">
      <c r="A2252" t="s">
        <v>4523</v>
      </c>
      <c r="B2252" s="171" t="s">
        <v>4524</v>
      </c>
      <c r="C2252" s="171" t="s">
        <v>218</v>
      </c>
      <c r="D2252" s="171" t="s">
        <v>4</v>
      </c>
      <c r="E2252" s="11">
        <v>41640</v>
      </c>
      <c r="H2252" t="e">
        <v>#DIV/0!</v>
      </c>
      <c r="K2252" t="e">
        <v>#DIV/0!</v>
      </c>
      <c r="M2252" t="e">
        <v>#DIV/0!</v>
      </c>
      <c r="R2252" t="e">
        <v>#DIV/0!</v>
      </c>
    </row>
    <row r="2253" spans="1:20" x14ac:dyDescent="0.3">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4531</v>
      </c>
      <c r="B2256" s="171" t="s">
        <v>4532</v>
      </c>
      <c r="C2256" s="171" t="s">
        <v>143</v>
      </c>
      <c r="D2256" s="171" t="s">
        <v>4</v>
      </c>
      <c r="E2256" s="11">
        <v>41640</v>
      </c>
      <c r="H2256" t="e">
        <v>#DIV/0!</v>
      </c>
      <c r="K2256" t="e">
        <v>#DIV/0!</v>
      </c>
      <c r="M2256" t="e">
        <v>#DIV/0!</v>
      </c>
      <c r="N2256">
        <v>0</v>
      </c>
      <c r="R2256" t="e">
        <v>#DIV/0!</v>
      </c>
    </row>
    <row r="2257" spans="1:20" x14ac:dyDescent="0.3">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4535</v>
      </c>
      <c r="B2258" s="171" t="s">
        <v>4536</v>
      </c>
      <c r="C2258" s="171" t="s">
        <v>149</v>
      </c>
      <c r="D2258" s="171" t="s">
        <v>4</v>
      </c>
      <c r="E2258" s="11">
        <v>41640</v>
      </c>
      <c r="H2258" t="e">
        <v>#DIV/0!</v>
      </c>
      <c r="K2258" t="e">
        <v>#DIV/0!</v>
      </c>
      <c r="M2258" t="e">
        <v>#DIV/0!</v>
      </c>
      <c r="R2258" t="e">
        <v>#DIV/0!</v>
      </c>
      <c r="T2258">
        <v>1</v>
      </c>
    </row>
    <row r="2259" spans="1:20" x14ac:dyDescent="0.3">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x14ac:dyDescent="0.3">
      <c r="A2261" t="s">
        <v>4541</v>
      </c>
      <c r="B2261" s="171" t="s">
        <v>4542</v>
      </c>
      <c r="C2261" s="171" t="s">
        <v>158</v>
      </c>
      <c r="D2261" s="171" t="s">
        <v>4</v>
      </c>
      <c r="E2261" s="11">
        <v>41640</v>
      </c>
      <c r="H2261" t="e">
        <v>#DIV/0!</v>
      </c>
      <c r="K2261" t="e">
        <v>#DIV/0!</v>
      </c>
      <c r="M2261" t="e">
        <v>#DIV/0!</v>
      </c>
      <c r="R2261" t="e">
        <v>#DIV/0!</v>
      </c>
      <c r="T2261">
        <v>1</v>
      </c>
    </row>
    <row r="2262" spans="1:20" x14ac:dyDescent="0.3">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x14ac:dyDescent="0.3">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x14ac:dyDescent="0.3">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4553</v>
      </c>
      <c r="B2267" s="171" t="s">
        <v>4554</v>
      </c>
      <c r="C2267" s="171" t="s">
        <v>230</v>
      </c>
      <c r="D2267" s="171" t="s">
        <v>4</v>
      </c>
      <c r="E2267" s="11">
        <v>41640</v>
      </c>
      <c r="H2267" t="e">
        <v>#DIV/0!</v>
      </c>
      <c r="K2267" t="e">
        <v>#DIV/0!</v>
      </c>
      <c r="M2267" t="e">
        <v>#DIV/0!</v>
      </c>
      <c r="R2267" t="e">
        <v>#DIV/0!</v>
      </c>
      <c r="T2267">
        <v>1</v>
      </c>
    </row>
    <row r="2268" spans="1:20" x14ac:dyDescent="0.3">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x14ac:dyDescent="0.3">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x14ac:dyDescent="0.3">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x14ac:dyDescent="0.3">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x14ac:dyDescent="0.3">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4583</v>
      </c>
      <c r="B2282" s="171" t="s">
        <v>4584</v>
      </c>
      <c r="C2282" s="171" t="s">
        <v>116</v>
      </c>
      <c r="D2282" s="171" t="s">
        <v>80</v>
      </c>
      <c r="E2282" s="11">
        <v>41671</v>
      </c>
      <c r="H2282" t="e">
        <v>#DIV/0!</v>
      </c>
      <c r="K2282" t="e">
        <v>#DIV/0!</v>
      </c>
      <c r="M2282" t="e">
        <v>#DIV/0!</v>
      </c>
      <c r="R2282" t="e">
        <v>#DIV/0!</v>
      </c>
      <c r="T2282">
        <v>0.69230769230769229</v>
      </c>
    </row>
    <row r="2283" spans="1:20" x14ac:dyDescent="0.3">
      <c r="A2283" t="s">
        <v>4585</v>
      </c>
      <c r="B2283" s="171" t="s">
        <v>4586</v>
      </c>
      <c r="C2283" s="171" t="s">
        <v>119</v>
      </c>
      <c r="D2283" s="171" t="s">
        <v>80</v>
      </c>
      <c r="E2283" s="11">
        <v>41671</v>
      </c>
      <c r="H2283" t="e">
        <v>#DIV/0!</v>
      </c>
      <c r="K2283" t="e">
        <v>#DIV/0!</v>
      </c>
      <c r="M2283" t="e">
        <v>#DIV/0!</v>
      </c>
      <c r="R2283" t="e">
        <v>#DIV/0!</v>
      </c>
      <c r="T2283" t="e">
        <v>#DIV/0!</v>
      </c>
    </row>
    <row r="2284" spans="1:20" x14ac:dyDescent="0.3">
      <c r="A2284" t="s">
        <v>4587</v>
      </c>
      <c r="B2284" s="171" t="s">
        <v>4588</v>
      </c>
      <c r="C2284" s="171" t="s">
        <v>122</v>
      </c>
      <c r="D2284" s="171" t="s">
        <v>4</v>
      </c>
      <c r="E2284" s="11">
        <v>41671</v>
      </c>
      <c r="H2284" t="e">
        <v>#DIV/0!</v>
      </c>
      <c r="K2284" t="e">
        <v>#DIV/0!</v>
      </c>
      <c r="M2284" t="e">
        <v>#DIV/0!</v>
      </c>
      <c r="R2284" t="e">
        <v>#DIV/0!</v>
      </c>
      <c r="T2284" t="e">
        <v>#DIV/0!</v>
      </c>
    </row>
    <row r="2285" spans="1:20" x14ac:dyDescent="0.3">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4595</v>
      </c>
      <c r="B2288" s="171" t="s">
        <v>4596</v>
      </c>
      <c r="C2288" s="171" t="s">
        <v>134</v>
      </c>
      <c r="D2288" s="171" t="s">
        <v>80</v>
      </c>
      <c r="E2288" s="11">
        <v>41671</v>
      </c>
      <c r="H2288" t="e">
        <v>#DIV/0!</v>
      </c>
      <c r="K2288" t="e">
        <v>#DIV/0!</v>
      </c>
      <c r="M2288" t="e">
        <v>#DIV/0!</v>
      </c>
      <c r="N2288">
        <v>0</v>
      </c>
      <c r="R2288" t="e">
        <v>#DIV/0!</v>
      </c>
      <c r="T2288">
        <v>1</v>
      </c>
    </row>
    <row r="2289" spans="1:20" x14ac:dyDescent="0.3">
      <c r="A2289" t="s">
        <v>4597</v>
      </c>
      <c r="B2289" s="171" t="s">
        <v>4598</v>
      </c>
      <c r="C2289" s="171" t="s">
        <v>137</v>
      </c>
      <c r="D2289" s="171" t="s">
        <v>4</v>
      </c>
      <c r="E2289" s="11">
        <v>41671</v>
      </c>
      <c r="H2289" t="e">
        <v>#DIV/0!</v>
      </c>
      <c r="K2289" t="e">
        <v>#DIV/0!</v>
      </c>
      <c r="M2289" t="e">
        <v>#DIV/0!</v>
      </c>
      <c r="R2289" t="e">
        <v>#DIV/0!</v>
      </c>
      <c r="T2289">
        <v>0.96250000000000002</v>
      </c>
    </row>
    <row r="2290" spans="1:20" x14ac:dyDescent="0.3">
      <c r="A2290" t="s">
        <v>4599</v>
      </c>
      <c r="B2290" s="171" t="s">
        <v>4600</v>
      </c>
      <c r="C2290" s="171" t="s">
        <v>140</v>
      </c>
      <c r="D2290" s="171" t="s">
        <v>80</v>
      </c>
      <c r="E2290" s="11">
        <v>41671</v>
      </c>
      <c r="H2290" t="e">
        <v>#DIV/0!</v>
      </c>
      <c r="K2290" t="e">
        <v>#DIV/0!</v>
      </c>
      <c r="M2290" t="e">
        <v>#DIV/0!</v>
      </c>
      <c r="R2290" t="e">
        <v>#DIV/0!</v>
      </c>
      <c r="T2290">
        <v>1</v>
      </c>
    </row>
    <row r="2291" spans="1:20" x14ac:dyDescent="0.3">
      <c r="A2291" t="s">
        <v>4601</v>
      </c>
      <c r="B2291" s="171" t="s">
        <v>4602</v>
      </c>
      <c r="C2291" s="171" t="s">
        <v>143</v>
      </c>
      <c r="D2291" s="171" t="s">
        <v>80</v>
      </c>
      <c r="E2291" s="11">
        <v>41671</v>
      </c>
      <c r="H2291" t="e">
        <v>#DIV/0!</v>
      </c>
      <c r="K2291" t="e">
        <v>#DIV/0!</v>
      </c>
      <c r="M2291" t="e">
        <v>#DIV/0!</v>
      </c>
      <c r="N2291">
        <v>0</v>
      </c>
      <c r="R2291" t="e">
        <v>#DIV/0!</v>
      </c>
      <c r="T2291">
        <v>0.80477500000000002</v>
      </c>
    </row>
    <row r="2292" spans="1:20" x14ac:dyDescent="0.3">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4605</v>
      </c>
      <c r="B2293" s="171" t="s">
        <v>4606</v>
      </c>
      <c r="C2293" s="171" t="s">
        <v>149</v>
      </c>
      <c r="D2293" s="171" t="s">
        <v>80</v>
      </c>
      <c r="E2293" s="11">
        <v>41671</v>
      </c>
      <c r="H2293" t="e">
        <v>#DIV/0!</v>
      </c>
      <c r="K2293" t="e">
        <v>#DIV/0!</v>
      </c>
      <c r="M2293" t="e">
        <v>#DIV/0!</v>
      </c>
      <c r="P2293">
        <v>0</v>
      </c>
      <c r="Q2293">
        <v>0</v>
      </c>
      <c r="R2293" t="e">
        <v>#DIV/0!</v>
      </c>
      <c r="T2293">
        <v>0</v>
      </c>
    </row>
    <row r="2294" spans="1:20" x14ac:dyDescent="0.3">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x14ac:dyDescent="0.3">
      <c r="A2296" t="s">
        <v>4611</v>
      </c>
      <c r="B2296" s="171" t="s">
        <v>4612</v>
      </c>
      <c r="C2296" s="171" t="s">
        <v>158</v>
      </c>
      <c r="D2296" s="171" t="s">
        <v>80</v>
      </c>
      <c r="E2296" s="11">
        <v>41671</v>
      </c>
      <c r="H2296" t="e">
        <v>#DIV/0!</v>
      </c>
      <c r="K2296" t="e">
        <v>#DIV/0!</v>
      </c>
      <c r="M2296" t="e">
        <v>#DIV/0!</v>
      </c>
      <c r="R2296" t="e">
        <v>#DIV/0!</v>
      </c>
      <c r="T2296" t="e">
        <v>#DIV/0!</v>
      </c>
    </row>
    <row r="2297" spans="1:20" x14ac:dyDescent="0.3">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x14ac:dyDescent="0.3">
      <c r="A2299" t="s">
        <v>4617</v>
      </c>
      <c r="B2299" s="171" t="s">
        <v>4618</v>
      </c>
      <c r="C2299" s="171" t="s">
        <v>167</v>
      </c>
      <c r="D2299" s="171" t="s">
        <v>4</v>
      </c>
      <c r="E2299" s="11">
        <v>41671</v>
      </c>
      <c r="H2299" t="e">
        <v>#DIV/0!</v>
      </c>
      <c r="K2299" t="e">
        <v>#DIV/0!</v>
      </c>
      <c r="M2299" t="e">
        <v>#DIV/0!</v>
      </c>
      <c r="R2299" t="e">
        <v>#DIV/0!</v>
      </c>
    </row>
    <row r="2300" spans="1:20" x14ac:dyDescent="0.3">
      <c r="A2300" t="s">
        <v>4619</v>
      </c>
      <c r="B2300" s="171" t="s">
        <v>4620</v>
      </c>
      <c r="C2300" s="171" t="s">
        <v>170</v>
      </c>
      <c r="D2300" s="171" t="s">
        <v>80</v>
      </c>
      <c r="E2300" s="11">
        <v>41671</v>
      </c>
      <c r="H2300" t="e">
        <v>#DIV/0!</v>
      </c>
      <c r="K2300" t="e">
        <v>#DIV/0!</v>
      </c>
      <c r="M2300" t="e">
        <v>#DIV/0!</v>
      </c>
      <c r="R2300" t="e">
        <v>#DIV/0!</v>
      </c>
      <c r="T2300">
        <v>0.68518518518518512</v>
      </c>
    </row>
    <row r="2301" spans="1:20" x14ac:dyDescent="0.3">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x14ac:dyDescent="0.3">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x14ac:dyDescent="0.3">
      <c r="A2303" t="s">
        <v>4625</v>
      </c>
      <c r="B2303" s="171" t="s">
        <v>4626</v>
      </c>
      <c r="C2303" s="171" t="s">
        <v>179</v>
      </c>
      <c r="D2303" s="171" t="s">
        <v>4</v>
      </c>
      <c r="E2303" s="11">
        <v>41671</v>
      </c>
      <c r="H2303" t="e">
        <v>#DIV/0!</v>
      </c>
      <c r="K2303" t="e">
        <v>#DIV/0!</v>
      </c>
      <c r="M2303" t="e">
        <v>#DIV/0!</v>
      </c>
      <c r="R2303" t="e">
        <v>#DIV/0!</v>
      </c>
      <c r="T2303">
        <v>0.82199999999999995</v>
      </c>
    </row>
    <row r="2304" spans="1:20" x14ac:dyDescent="0.3">
      <c r="A2304" t="s">
        <v>4627</v>
      </c>
      <c r="B2304" s="171" t="s">
        <v>4628</v>
      </c>
      <c r="C2304" s="171" t="s">
        <v>182</v>
      </c>
      <c r="D2304" s="171" t="s">
        <v>80</v>
      </c>
      <c r="E2304" s="11">
        <v>41671</v>
      </c>
      <c r="H2304" t="e">
        <v>#DIV/0!</v>
      </c>
      <c r="K2304" t="e">
        <v>#DIV/0!</v>
      </c>
      <c r="M2304" t="e">
        <v>#DIV/0!</v>
      </c>
      <c r="R2304" t="e">
        <v>#DIV/0!</v>
      </c>
      <c r="T2304">
        <v>0.98</v>
      </c>
    </row>
    <row r="2305" spans="1:20" x14ac:dyDescent="0.3">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4637</v>
      </c>
      <c r="B2309" s="171" t="s">
        <v>4638</v>
      </c>
      <c r="C2309" s="171" t="s">
        <v>197</v>
      </c>
      <c r="D2309" s="171" t="s">
        <v>80</v>
      </c>
      <c r="E2309" s="11">
        <v>41671</v>
      </c>
      <c r="H2309" t="e">
        <v>#DIV/0!</v>
      </c>
      <c r="K2309" t="e">
        <v>#DIV/0!</v>
      </c>
      <c r="M2309" t="e">
        <v>#DIV/0!</v>
      </c>
      <c r="R2309" t="e">
        <v>#DIV/0!</v>
      </c>
    </row>
    <row r="2310" spans="1:20" x14ac:dyDescent="0.3">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x14ac:dyDescent="0.3">
      <c r="A2311" t="s">
        <v>4641</v>
      </c>
      <c r="B2311" s="171" t="s">
        <v>4642</v>
      </c>
      <c r="C2311" s="171" t="s">
        <v>203</v>
      </c>
      <c r="D2311" s="171" t="s">
        <v>80</v>
      </c>
      <c r="E2311" s="11">
        <v>41671</v>
      </c>
      <c r="F2311">
        <v>6</v>
      </c>
      <c r="G2311">
        <v>6</v>
      </c>
      <c r="H2311">
        <v>1</v>
      </c>
      <c r="J2311">
        <v>27</v>
      </c>
      <c r="K2311">
        <v>0</v>
      </c>
      <c r="L2311">
        <v>27</v>
      </c>
      <c r="M2311">
        <v>1</v>
      </c>
      <c r="R2311" t="e">
        <v>#DIV/0!</v>
      </c>
    </row>
    <row r="2312" spans="1:20" x14ac:dyDescent="0.3">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x14ac:dyDescent="0.3">
      <c r="A2313" t="s">
        <v>4645</v>
      </c>
      <c r="B2313" s="171" t="s">
        <v>4646</v>
      </c>
      <c r="C2313" s="171" t="s">
        <v>209</v>
      </c>
      <c r="D2313" s="171" t="s">
        <v>80</v>
      </c>
      <c r="E2313" s="11">
        <v>41671</v>
      </c>
      <c r="H2313" t="e">
        <v>#DIV/0!</v>
      </c>
      <c r="K2313" t="e">
        <v>#DIV/0!</v>
      </c>
      <c r="M2313" t="e">
        <v>#DIV/0!</v>
      </c>
      <c r="R2313" t="e">
        <v>#DIV/0!</v>
      </c>
      <c r="T2313">
        <v>1</v>
      </c>
    </row>
    <row r="2314" spans="1:20" x14ac:dyDescent="0.3">
      <c r="A2314" t="s">
        <v>4647</v>
      </c>
      <c r="B2314" s="171" t="s">
        <v>4648</v>
      </c>
      <c r="C2314" s="171" t="s">
        <v>212</v>
      </c>
      <c r="D2314" s="171" t="s">
        <v>4</v>
      </c>
      <c r="E2314" s="11">
        <v>41671</v>
      </c>
      <c r="H2314" t="e">
        <v>#DIV/0!</v>
      </c>
      <c r="K2314" t="e">
        <v>#DIV/0!</v>
      </c>
      <c r="M2314" t="e">
        <v>#DIV/0!</v>
      </c>
      <c r="R2314" t="e">
        <v>#DIV/0!</v>
      </c>
      <c r="T2314">
        <v>0.67500000000000004</v>
      </c>
    </row>
    <row r="2315" spans="1:20" x14ac:dyDescent="0.3">
      <c r="A2315" t="s">
        <v>4649</v>
      </c>
      <c r="B2315" s="171" t="s">
        <v>4650</v>
      </c>
      <c r="C2315" s="171" t="s">
        <v>215</v>
      </c>
      <c r="D2315" s="171" t="s">
        <v>4</v>
      </c>
      <c r="E2315" s="11">
        <v>41671</v>
      </c>
      <c r="H2315" t="e">
        <v>#DIV/0!</v>
      </c>
      <c r="K2315" t="e">
        <v>#DIV/0!</v>
      </c>
      <c r="M2315" t="e">
        <v>#DIV/0!</v>
      </c>
      <c r="R2315" t="e">
        <v>#DIV/0!</v>
      </c>
      <c r="T2315">
        <v>0.7</v>
      </c>
    </row>
    <row r="2316" spans="1:20" x14ac:dyDescent="0.3">
      <c r="A2316" t="s">
        <v>4651</v>
      </c>
      <c r="B2316" s="171" t="s">
        <v>4652</v>
      </c>
      <c r="C2316" s="171" t="s">
        <v>218</v>
      </c>
      <c r="D2316" s="171" t="s">
        <v>80</v>
      </c>
      <c r="E2316" s="11">
        <v>41671</v>
      </c>
      <c r="H2316" t="e">
        <v>#DIV/0!</v>
      </c>
      <c r="K2316" t="e">
        <v>#DIV/0!</v>
      </c>
      <c r="M2316" t="e">
        <v>#DIV/0!</v>
      </c>
      <c r="R2316" t="e">
        <v>#DIV/0!</v>
      </c>
      <c r="T2316">
        <v>0.97499999999999998</v>
      </c>
    </row>
    <row r="2317" spans="1:20" x14ac:dyDescent="0.3">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4659</v>
      </c>
      <c r="B2320" s="171" t="s">
        <v>4660</v>
      </c>
      <c r="C2320" s="171" t="s">
        <v>230</v>
      </c>
      <c r="D2320" s="171" t="s">
        <v>80</v>
      </c>
      <c r="E2320" s="11">
        <v>41671</v>
      </c>
      <c r="H2320" t="e">
        <v>#DIV/0!</v>
      </c>
      <c r="K2320" t="e">
        <v>#DIV/0!</v>
      </c>
      <c r="M2320" t="e">
        <v>#DIV/0!</v>
      </c>
      <c r="R2320" t="e">
        <v>#DIV/0!</v>
      </c>
      <c r="T2320">
        <v>0.9</v>
      </c>
    </row>
    <row r="2321" spans="1:20" x14ac:dyDescent="0.3">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x14ac:dyDescent="0.3">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x14ac:dyDescent="0.3">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4687</v>
      </c>
      <c r="B2334" s="171" t="s">
        <v>4688</v>
      </c>
      <c r="C2334" s="171" t="s">
        <v>116</v>
      </c>
      <c r="D2334" s="171" t="s">
        <v>4</v>
      </c>
      <c r="E2334" s="11">
        <v>41671</v>
      </c>
      <c r="H2334" t="e">
        <v>#DIV/0!</v>
      </c>
      <c r="K2334" t="e">
        <v>#DIV/0!</v>
      </c>
      <c r="M2334" t="e">
        <v>#DIV/0!</v>
      </c>
      <c r="R2334" t="e">
        <v>#DIV/0!</v>
      </c>
    </row>
    <row r="2335" spans="1:20" x14ac:dyDescent="0.3">
      <c r="A2335" t="s">
        <v>4689</v>
      </c>
      <c r="B2335" s="171" t="s">
        <v>4690</v>
      </c>
      <c r="C2335" s="171" t="s">
        <v>119</v>
      </c>
      <c r="D2335" s="171" t="s">
        <v>4</v>
      </c>
      <c r="E2335" s="11">
        <v>41671</v>
      </c>
      <c r="H2335" t="e">
        <v>#DIV/0!</v>
      </c>
      <c r="K2335" t="e">
        <v>#DIV/0!</v>
      </c>
      <c r="M2335" t="e">
        <v>#DIV/0!</v>
      </c>
      <c r="R2335" t="e">
        <v>#DIV/0!</v>
      </c>
    </row>
    <row r="2336" spans="1:20" x14ac:dyDescent="0.3">
      <c r="A2336" t="s">
        <v>4691</v>
      </c>
      <c r="B2336" s="171" t="s">
        <v>4692</v>
      </c>
      <c r="C2336" s="171" t="s">
        <v>122</v>
      </c>
      <c r="D2336" s="171" t="s">
        <v>80</v>
      </c>
      <c r="E2336" s="11">
        <v>41671</v>
      </c>
      <c r="H2336" t="e">
        <v>#DIV/0!</v>
      </c>
      <c r="K2336" t="e">
        <v>#DIV/0!</v>
      </c>
      <c r="M2336" t="e">
        <v>#DIV/0!</v>
      </c>
      <c r="R2336" t="e">
        <v>#DIV/0!</v>
      </c>
      <c r="T2336">
        <v>1.06</v>
      </c>
    </row>
    <row r="2337" spans="1:20" x14ac:dyDescent="0.3">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4699</v>
      </c>
      <c r="B2340" s="171" t="s">
        <v>4700</v>
      </c>
      <c r="C2340" s="171" t="s">
        <v>134</v>
      </c>
      <c r="D2340" s="171" t="s">
        <v>4</v>
      </c>
      <c r="E2340" s="11">
        <v>41671</v>
      </c>
      <c r="H2340" t="e">
        <v>#DIV/0!</v>
      </c>
      <c r="K2340" t="e">
        <v>#DIV/0!</v>
      </c>
      <c r="M2340" t="e">
        <v>#DIV/0!</v>
      </c>
      <c r="N2340">
        <v>0</v>
      </c>
      <c r="R2340" t="e">
        <v>#DIV/0!</v>
      </c>
    </row>
    <row r="2341" spans="1:20" x14ac:dyDescent="0.3">
      <c r="A2341" t="s">
        <v>4701</v>
      </c>
      <c r="B2341" s="171" t="s">
        <v>4702</v>
      </c>
      <c r="C2341" s="171" t="s">
        <v>137</v>
      </c>
      <c r="D2341" s="171" t="s">
        <v>80</v>
      </c>
      <c r="E2341" s="11">
        <v>41671</v>
      </c>
      <c r="H2341" t="e">
        <v>#DIV/0!</v>
      </c>
      <c r="K2341" t="e">
        <v>#DIV/0!</v>
      </c>
      <c r="M2341" t="e">
        <v>#DIV/0!</v>
      </c>
      <c r="R2341" t="e">
        <v>#DIV/0!</v>
      </c>
    </row>
    <row r="2342" spans="1:20" x14ac:dyDescent="0.3">
      <c r="A2342" t="s">
        <v>4703</v>
      </c>
      <c r="B2342" s="171" t="s">
        <v>4704</v>
      </c>
      <c r="C2342" s="171" t="s">
        <v>140</v>
      </c>
      <c r="D2342" s="171" t="s">
        <v>4</v>
      </c>
      <c r="E2342" s="11">
        <v>41671</v>
      </c>
      <c r="H2342" t="e">
        <v>#DIV/0!</v>
      </c>
      <c r="K2342" t="e">
        <v>#DIV/0!</v>
      </c>
      <c r="M2342" t="e">
        <v>#DIV/0!</v>
      </c>
      <c r="R2342" t="e">
        <v>#DIV/0!</v>
      </c>
      <c r="T2342">
        <v>0.72499999999999998</v>
      </c>
    </row>
    <row r="2343" spans="1:20" x14ac:dyDescent="0.3">
      <c r="A2343" t="s">
        <v>4705</v>
      </c>
      <c r="B2343" s="171" t="s">
        <v>4706</v>
      </c>
      <c r="C2343" s="171" t="s">
        <v>167</v>
      </c>
      <c r="D2343" s="171" t="s">
        <v>80</v>
      </c>
      <c r="E2343" s="11">
        <v>41671</v>
      </c>
      <c r="H2343" t="e">
        <v>#DIV/0!</v>
      </c>
      <c r="K2343" t="e">
        <v>#DIV/0!</v>
      </c>
      <c r="M2343" t="e">
        <v>#DIV/0!</v>
      </c>
      <c r="R2343" t="e">
        <v>#DIV/0!</v>
      </c>
    </row>
    <row r="2344" spans="1:20" x14ac:dyDescent="0.3">
      <c r="A2344" t="s">
        <v>4707</v>
      </c>
      <c r="B2344" s="171" t="s">
        <v>4708</v>
      </c>
      <c r="C2344" s="171" t="s">
        <v>170</v>
      </c>
      <c r="D2344" s="171" t="s">
        <v>4</v>
      </c>
      <c r="E2344" s="11">
        <v>41671</v>
      </c>
      <c r="H2344" t="e">
        <v>#DIV/0!</v>
      </c>
      <c r="K2344" t="e">
        <v>#DIV/0!</v>
      </c>
      <c r="M2344" t="e">
        <v>#DIV/0!</v>
      </c>
      <c r="R2344" t="e">
        <v>#DIV/0!</v>
      </c>
    </row>
    <row r="2345" spans="1:20" x14ac:dyDescent="0.3">
      <c r="A2345" t="s">
        <v>4709</v>
      </c>
      <c r="B2345" s="171" t="s">
        <v>4710</v>
      </c>
      <c r="C2345" s="171" t="s">
        <v>179</v>
      </c>
      <c r="D2345" s="171" t="s">
        <v>80</v>
      </c>
      <c r="E2345" s="11">
        <v>41671</v>
      </c>
      <c r="H2345" t="e">
        <v>#DIV/0!</v>
      </c>
      <c r="K2345" t="e">
        <v>#DIV/0!</v>
      </c>
      <c r="M2345" t="e">
        <v>#DIV/0!</v>
      </c>
      <c r="R2345" t="e">
        <v>#DIV/0!</v>
      </c>
      <c r="T2345">
        <v>1</v>
      </c>
    </row>
    <row r="2346" spans="1:20" x14ac:dyDescent="0.3">
      <c r="A2346" t="s">
        <v>4711</v>
      </c>
      <c r="B2346" s="171" t="s">
        <v>4712</v>
      </c>
      <c r="C2346" s="171" t="s">
        <v>182</v>
      </c>
      <c r="D2346" s="171" t="s">
        <v>4</v>
      </c>
      <c r="E2346" s="11">
        <v>41671</v>
      </c>
      <c r="H2346" t="e">
        <v>#DIV/0!</v>
      </c>
      <c r="K2346" t="e">
        <v>#DIV/0!</v>
      </c>
      <c r="M2346" t="e">
        <v>#DIV/0!</v>
      </c>
      <c r="R2346" t="e">
        <v>#DIV/0!</v>
      </c>
      <c r="T2346">
        <v>0.67083333333333339</v>
      </c>
    </row>
    <row r="2347" spans="1:20" x14ac:dyDescent="0.3">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4721</v>
      </c>
      <c r="B2351" s="171" t="s">
        <v>4722</v>
      </c>
      <c r="C2351" s="171" t="s">
        <v>197</v>
      </c>
      <c r="D2351" s="171" t="s">
        <v>4</v>
      </c>
      <c r="E2351" s="11">
        <v>41671</v>
      </c>
      <c r="H2351" t="e">
        <v>#DIV/0!</v>
      </c>
      <c r="K2351" t="e">
        <v>#DIV/0!</v>
      </c>
      <c r="M2351" t="e">
        <v>#DIV/0!</v>
      </c>
      <c r="R2351" t="e">
        <v>#DIV/0!</v>
      </c>
    </row>
    <row r="2352" spans="1:20" x14ac:dyDescent="0.3">
      <c r="A2352" t="s">
        <v>4723</v>
      </c>
      <c r="B2352" s="171" t="s">
        <v>4724</v>
      </c>
      <c r="C2352" s="171" t="s">
        <v>209</v>
      </c>
      <c r="D2352" s="171" t="s">
        <v>4</v>
      </c>
      <c r="E2352" s="11">
        <v>41671</v>
      </c>
      <c r="H2352" t="e">
        <v>#DIV/0!</v>
      </c>
      <c r="K2352" t="e">
        <v>#DIV/0!</v>
      </c>
      <c r="M2352" t="e">
        <v>#DIV/0!</v>
      </c>
      <c r="R2352" t="e">
        <v>#DIV/0!</v>
      </c>
    </row>
    <row r="2353" spans="1:20" x14ac:dyDescent="0.3">
      <c r="A2353" t="s">
        <v>4725</v>
      </c>
      <c r="B2353" s="171" t="s">
        <v>4726</v>
      </c>
      <c r="C2353" s="171" t="s">
        <v>212</v>
      </c>
      <c r="D2353" s="171" t="s">
        <v>80</v>
      </c>
      <c r="E2353" s="11">
        <v>41671</v>
      </c>
      <c r="H2353" t="e">
        <v>#DIV/0!</v>
      </c>
      <c r="K2353" t="e">
        <v>#DIV/0!</v>
      </c>
      <c r="M2353" t="e">
        <v>#DIV/0!</v>
      </c>
      <c r="R2353" t="e">
        <v>#DIV/0!</v>
      </c>
    </row>
    <row r="2354" spans="1:20" x14ac:dyDescent="0.3">
      <c r="A2354" t="s">
        <v>4727</v>
      </c>
      <c r="B2354" s="171" t="s">
        <v>4728</v>
      </c>
      <c r="C2354" s="171" t="s">
        <v>215</v>
      </c>
      <c r="D2354" s="171" t="s">
        <v>80</v>
      </c>
      <c r="E2354" s="11">
        <v>41671</v>
      </c>
      <c r="H2354" t="e">
        <v>#DIV/0!</v>
      </c>
      <c r="K2354" t="e">
        <v>#DIV/0!</v>
      </c>
      <c r="M2354" t="e">
        <v>#DIV/0!</v>
      </c>
      <c r="R2354" t="e">
        <v>#DIV/0!</v>
      </c>
    </row>
    <row r="2355" spans="1:20" x14ac:dyDescent="0.3">
      <c r="A2355" t="s">
        <v>4729</v>
      </c>
      <c r="B2355" s="171" t="s">
        <v>4730</v>
      </c>
      <c r="C2355" s="171" t="s">
        <v>218</v>
      </c>
      <c r="D2355" s="171" t="s">
        <v>4</v>
      </c>
      <c r="E2355" s="11">
        <v>41671</v>
      </c>
      <c r="H2355" t="e">
        <v>#DIV/0!</v>
      </c>
      <c r="K2355" t="e">
        <v>#DIV/0!</v>
      </c>
      <c r="M2355" t="e">
        <v>#DIV/0!</v>
      </c>
      <c r="R2355" t="e">
        <v>#DIV/0!</v>
      </c>
    </row>
    <row r="2356" spans="1:20" x14ac:dyDescent="0.3">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4737</v>
      </c>
      <c r="B2359" s="171" t="s">
        <v>4738</v>
      </c>
      <c r="C2359" s="171" t="s">
        <v>143</v>
      </c>
      <c r="D2359" s="171" t="s">
        <v>4</v>
      </c>
      <c r="E2359" s="11">
        <v>41671</v>
      </c>
      <c r="H2359" t="e">
        <v>#DIV/0!</v>
      </c>
      <c r="K2359" t="e">
        <v>#DIV/0!</v>
      </c>
      <c r="M2359" t="e">
        <v>#DIV/0!</v>
      </c>
      <c r="N2359">
        <v>0</v>
      </c>
      <c r="R2359" t="e">
        <v>#DIV/0!</v>
      </c>
      <c r="T2359">
        <v>0.80210526315789477</v>
      </c>
    </row>
    <row r="2360" spans="1:20" x14ac:dyDescent="0.3">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4741</v>
      </c>
      <c r="B2361" s="171" t="s">
        <v>4742</v>
      </c>
      <c r="C2361" s="171" t="s">
        <v>149</v>
      </c>
      <c r="D2361" s="171" t="s">
        <v>4</v>
      </c>
      <c r="E2361" s="11">
        <v>41671</v>
      </c>
      <c r="H2361" t="e">
        <v>#DIV/0!</v>
      </c>
      <c r="K2361" t="e">
        <v>#DIV/0!</v>
      </c>
      <c r="M2361" t="e">
        <v>#DIV/0!</v>
      </c>
      <c r="P2361">
        <v>0</v>
      </c>
      <c r="Q2361">
        <v>0</v>
      </c>
      <c r="R2361" t="e">
        <v>#DIV/0!</v>
      </c>
      <c r="T2361">
        <v>0.98</v>
      </c>
    </row>
    <row r="2362" spans="1:20" x14ac:dyDescent="0.3">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x14ac:dyDescent="0.3">
      <c r="A2364" t="s">
        <v>4747</v>
      </c>
      <c r="B2364" s="171" t="s">
        <v>4748</v>
      </c>
      <c r="C2364" s="171" t="s">
        <v>158</v>
      </c>
      <c r="D2364" s="171" t="s">
        <v>4</v>
      </c>
      <c r="E2364" s="11">
        <v>41671</v>
      </c>
      <c r="H2364" t="e">
        <v>#DIV/0!</v>
      </c>
      <c r="K2364" t="e">
        <v>#DIV/0!</v>
      </c>
      <c r="M2364" t="e">
        <v>#DIV/0!</v>
      </c>
      <c r="R2364" t="e">
        <v>#DIV/0!</v>
      </c>
    </row>
    <row r="2365" spans="1:20" x14ac:dyDescent="0.3">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x14ac:dyDescent="0.3">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x14ac:dyDescent="0.3">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4759</v>
      </c>
      <c r="B2370" s="171" t="s">
        <v>4760</v>
      </c>
      <c r="C2370" s="171" t="s">
        <v>230</v>
      </c>
      <c r="D2370" s="171" t="s">
        <v>4</v>
      </c>
      <c r="E2370" s="11">
        <v>41671</v>
      </c>
      <c r="H2370" t="e">
        <v>#DIV/0!</v>
      </c>
      <c r="K2370" t="e">
        <v>#DIV/0!</v>
      </c>
      <c r="M2370" t="e">
        <v>#DIV/0!</v>
      </c>
      <c r="R2370" t="e">
        <v>#DIV/0!</v>
      </c>
      <c r="T2370">
        <v>1</v>
      </c>
    </row>
    <row r="2371" spans="1:20" x14ac:dyDescent="0.3">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x14ac:dyDescent="0.3">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x14ac:dyDescent="0.3">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x14ac:dyDescent="0.3">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4789</v>
      </c>
      <c r="B2385" s="171" t="s">
        <v>4790</v>
      </c>
      <c r="C2385" s="171" t="s">
        <v>116</v>
      </c>
      <c r="D2385" s="171" t="s">
        <v>80</v>
      </c>
      <c r="E2385" s="11">
        <v>41699</v>
      </c>
      <c r="H2385" t="e">
        <v>#DIV/0!</v>
      </c>
      <c r="K2385" t="e">
        <v>#DIV/0!</v>
      </c>
      <c r="M2385" t="e">
        <v>#DIV/0!</v>
      </c>
      <c r="R2385" t="e">
        <v>#DIV/0!</v>
      </c>
    </row>
    <row r="2386" spans="1:20" x14ac:dyDescent="0.3">
      <c r="A2386" t="s">
        <v>4791</v>
      </c>
      <c r="B2386" s="171" t="s">
        <v>4792</v>
      </c>
      <c r="C2386" s="171" t="s">
        <v>119</v>
      </c>
      <c r="D2386" s="171" t="s">
        <v>80</v>
      </c>
      <c r="E2386" s="11">
        <v>41699</v>
      </c>
      <c r="H2386" t="e">
        <v>#DIV/0!</v>
      </c>
      <c r="K2386" t="e">
        <v>#DIV/0!</v>
      </c>
      <c r="M2386" t="e">
        <v>#DIV/0!</v>
      </c>
      <c r="R2386" t="e">
        <v>#DIV/0!</v>
      </c>
    </row>
    <row r="2387" spans="1:20" x14ac:dyDescent="0.3">
      <c r="A2387" t="s">
        <v>4793</v>
      </c>
      <c r="B2387" s="171" t="s">
        <v>4794</v>
      </c>
      <c r="C2387" s="171" t="s">
        <v>122</v>
      </c>
      <c r="D2387" s="171" t="s">
        <v>4</v>
      </c>
      <c r="E2387" s="11">
        <v>41699</v>
      </c>
      <c r="H2387" t="e">
        <v>#DIV/0!</v>
      </c>
      <c r="K2387" t="e">
        <v>#DIV/0!</v>
      </c>
      <c r="M2387" t="e">
        <v>#DIV/0!</v>
      </c>
      <c r="R2387" t="e">
        <v>#DIV/0!</v>
      </c>
    </row>
    <row r="2388" spans="1:20" x14ac:dyDescent="0.3">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4801</v>
      </c>
      <c r="B2391" s="171" t="s">
        <v>4802</v>
      </c>
      <c r="C2391" s="171" t="s">
        <v>134</v>
      </c>
      <c r="D2391" s="171" t="s">
        <v>80</v>
      </c>
      <c r="E2391" s="11">
        <v>41699</v>
      </c>
      <c r="H2391" t="e">
        <v>#DIV/0!</v>
      </c>
      <c r="K2391" t="e">
        <v>#DIV/0!</v>
      </c>
      <c r="M2391" t="e">
        <v>#DIV/0!</v>
      </c>
      <c r="N2391">
        <v>0</v>
      </c>
      <c r="R2391" t="e">
        <v>#DIV/0!</v>
      </c>
    </row>
    <row r="2392" spans="1:20" x14ac:dyDescent="0.3">
      <c r="A2392" t="s">
        <v>4803</v>
      </c>
      <c r="B2392" s="171" t="s">
        <v>4804</v>
      </c>
      <c r="C2392" s="171" t="s">
        <v>137</v>
      </c>
      <c r="D2392" s="171" t="s">
        <v>4</v>
      </c>
      <c r="E2392" s="11">
        <v>41699</v>
      </c>
      <c r="H2392" t="e">
        <v>#DIV/0!</v>
      </c>
      <c r="K2392" t="e">
        <v>#DIV/0!</v>
      </c>
      <c r="M2392" t="e">
        <v>#DIV/0!</v>
      </c>
      <c r="R2392" t="e">
        <v>#DIV/0!</v>
      </c>
    </row>
    <row r="2393" spans="1:20" x14ac:dyDescent="0.3">
      <c r="A2393" t="s">
        <v>4805</v>
      </c>
      <c r="B2393" s="171" t="s">
        <v>4806</v>
      </c>
      <c r="C2393" s="171" t="s">
        <v>140</v>
      </c>
      <c r="D2393" s="171" t="s">
        <v>80</v>
      </c>
      <c r="E2393" s="11">
        <v>41699</v>
      </c>
      <c r="H2393" t="e">
        <v>#DIV/0!</v>
      </c>
      <c r="K2393" t="e">
        <v>#DIV/0!</v>
      </c>
      <c r="M2393" t="e">
        <v>#DIV/0!</v>
      </c>
      <c r="R2393" t="e">
        <v>#DIV/0!</v>
      </c>
      <c r="T2393">
        <v>1.06</v>
      </c>
    </row>
    <row r="2394" spans="1:20" x14ac:dyDescent="0.3">
      <c r="A2394" t="s">
        <v>4807</v>
      </c>
      <c r="B2394" s="171" t="s">
        <v>4808</v>
      </c>
      <c r="C2394" s="171" t="s">
        <v>143</v>
      </c>
      <c r="D2394" s="171" t="s">
        <v>80</v>
      </c>
      <c r="E2394" s="11">
        <v>41699</v>
      </c>
      <c r="H2394" t="e">
        <v>#DIV/0!</v>
      </c>
      <c r="K2394" t="e">
        <v>#DIV/0!</v>
      </c>
      <c r="M2394" t="e">
        <v>#DIV/0!</v>
      </c>
      <c r="N2394">
        <v>0</v>
      </c>
      <c r="R2394" t="e">
        <v>#DIV/0!</v>
      </c>
      <c r="T2394">
        <v>0.71785714285714286</v>
      </c>
    </row>
    <row r="2395" spans="1:20" x14ac:dyDescent="0.3">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4811</v>
      </c>
      <c r="B2396" s="171" t="s">
        <v>4812</v>
      </c>
      <c r="C2396" s="171" t="s">
        <v>149</v>
      </c>
      <c r="D2396" s="171" t="s">
        <v>80</v>
      </c>
      <c r="E2396" s="11">
        <v>41699</v>
      </c>
      <c r="H2396" t="e">
        <v>#DIV/0!</v>
      </c>
      <c r="K2396" t="e">
        <v>#DIV/0!</v>
      </c>
      <c r="M2396" t="e">
        <v>#DIV/0!</v>
      </c>
      <c r="R2396" t="e">
        <v>#DIV/0!</v>
      </c>
    </row>
    <row r="2397" spans="1:20" x14ac:dyDescent="0.3">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x14ac:dyDescent="0.3">
      <c r="A2399" t="s">
        <v>4817</v>
      </c>
      <c r="B2399" s="171" t="s">
        <v>4818</v>
      </c>
      <c r="C2399" s="171" t="s">
        <v>158</v>
      </c>
      <c r="D2399" s="171" t="s">
        <v>80</v>
      </c>
      <c r="E2399" s="11">
        <v>41699</v>
      </c>
      <c r="H2399" t="e">
        <v>#DIV/0!</v>
      </c>
      <c r="K2399" t="e">
        <v>#DIV/0!</v>
      </c>
      <c r="M2399" t="e">
        <v>#DIV/0!</v>
      </c>
      <c r="R2399" t="e">
        <v>#DIV/0!</v>
      </c>
      <c r="T2399">
        <v>0.86250000000000004</v>
      </c>
    </row>
    <row r="2400" spans="1:20" x14ac:dyDescent="0.3">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x14ac:dyDescent="0.3">
      <c r="A2402" t="s">
        <v>4823</v>
      </c>
      <c r="B2402" s="171" t="s">
        <v>4824</v>
      </c>
      <c r="C2402" s="171" t="s">
        <v>167</v>
      </c>
      <c r="D2402" s="171" t="s">
        <v>4</v>
      </c>
      <c r="E2402" s="11">
        <v>41699</v>
      </c>
      <c r="H2402" t="e">
        <v>#DIV/0!</v>
      </c>
      <c r="K2402" t="e">
        <v>#DIV/0!</v>
      </c>
      <c r="M2402" t="e">
        <v>#DIV/0!</v>
      </c>
      <c r="R2402" t="e">
        <v>#DIV/0!</v>
      </c>
      <c r="T2402">
        <v>1</v>
      </c>
    </row>
    <row r="2403" spans="1:20" x14ac:dyDescent="0.3">
      <c r="A2403" t="s">
        <v>4825</v>
      </c>
      <c r="B2403" s="171" t="s">
        <v>4826</v>
      </c>
      <c r="C2403" s="171" t="s">
        <v>170</v>
      </c>
      <c r="D2403" s="171" t="s">
        <v>80</v>
      </c>
      <c r="E2403" s="11">
        <v>41699</v>
      </c>
      <c r="H2403" t="e">
        <v>#DIV/0!</v>
      </c>
      <c r="K2403" t="e">
        <v>#DIV/0!</v>
      </c>
      <c r="M2403" t="e">
        <v>#DIV/0!</v>
      </c>
      <c r="R2403" t="e">
        <v>#DIV/0!</v>
      </c>
      <c r="T2403">
        <v>0.76666666666666661</v>
      </c>
    </row>
    <row r="2404" spans="1:20" x14ac:dyDescent="0.3">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4831</v>
      </c>
      <c r="B2406" s="171" t="s">
        <v>4832</v>
      </c>
      <c r="C2406" s="171" t="s">
        <v>179</v>
      </c>
      <c r="D2406" s="171" t="s">
        <v>4</v>
      </c>
      <c r="E2406" s="11">
        <v>41699</v>
      </c>
      <c r="H2406" t="e">
        <v>#DIV/0!</v>
      </c>
      <c r="K2406" t="e">
        <v>#DIV/0!</v>
      </c>
      <c r="M2406" t="e">
        <v>#DIV/0!</v>
      </c>
      <c r="R2406" t="e">
        <v>#DIV/0!</v>
      </c>
      <c r="T2406">
        <v>0.5</v>
      </c>
    </row>
    <row r="2407" spans="1:20" x14ac:dyDescent="0.3">
      <c r="A2407" t="s">
        <v>4833</v>
      </c>
      <c r="B2407" s="171" t="s">
        <v>4834</v>
      </c>
      <c r="C2407" s="171" t="s">
        <v>182</v>
      </c>
      <c r="D2407" s="171" t="s">
        <v>80</v>
      </c>
      <c r="E2407" s="11">
        <v>41699</v>
      </c>
      <c r="H2407" t="e">
        <v>#DIV/0!</v>
      </c>
      <c r="K2407" t="e">
        <v>#DIV/0!</v>
      </c>
      <c r="M2407" t="e">
        <v>#DIV/0!</v>
      </c>
      <c r="R2407" t="e">
        <v>#DIV/0!</v>
      </c>
      <c r="T2407">
        <v>0</v>
      </c>
    </row>
    <row r="2408" spans="1:20" x14ac:dyDescent="0.3">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x14ac:dyDescent="0.3">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x14ac:dyDescent="0.3">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4843</v>
      </c>
      <c r="B2412" s="171" t="s">
        <v>4844</v>
      </c>
      <c r="C2412" s="171" t="s">
        <v>197</v>
      </c>
      <c r="D2412" s="171" t="s">
        <v>80</v>
      </c>
      <c r="E2412" s="11">
        <v>41699</v>
      </c>
      <c r="H2412" t="e">
        <v>#DIV/0!</v>
      </c>
      <c r="K2412" t="e">
        <v>#DIV/0!</v>
      </c>
      <c r="M2412" t="e">
        <v>#DIV/0!</v>
      </c>
      <c r="R2412" t="e">
        <v>#DIV/0!</v>
      </c>
    </row>
    <row r="2413" spans="1:20" x14ac:dyDescent="0.3">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x14ac:dyDescent="0.3">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4851</v>
      </c>
      <c r="B2416" s="171" t="s">
        <v>4852</v>
      </c>
      <c r="C2416" s="171" t="s">
        <v>209</v>
      </c>
      <c r="D2416" s="171" t="s">
        <v>80</v>
      </c>
      <c r="E2416" s="11">
        <v>41699</v>
      </c>
      <c r="H2416" t="e">
        <v>#DIV/0!</v>
      </c>
      <c r="K2416" t="e">
        <v>#DIV/0!</v>
      </c>
      <c r="M2416" t="e">
        <v>#DIV/0!</v>
      </c>
      <c r="R2416" t="e">
        <v>#DIV/0!</v>
      </c>
      <c r="T2416">
        <v>0.77949999999999997</v>
      </c>
    </row>
    <row r="2417" spans="1:20" x14ac:dyDescent="0.3">
      <c r="A2417" t="s">
        <v>4853</v>
      </c>
      <c r="B2417" s="171" t="s">
        <v>4854</v>
      </c>
      <c r="C2417" s="171" t="s">
        <v>212</v>
      </c>
      <c r="D2417" s="171" t="s">
        <v>4</v>
      </c>
      <c r="E2417" s="11">
        <v>41699</v>
      </c>
      <c r="H2417" t="e">
        <v>#DIV/0!</v>
      </c>
      <c r="K2417" t="e">
        <v>#DIV/0!</v>
      </c>
      <c r="M2417" t="e">
        <v>#DIV/0!</v>
      </c>
      <c r="R2417" t="e">
        <v>#DIV/0!</v>
      </c>
      <c r="T2417">
        <v>0.83499999999999996</v>
      </c>
    </row>
    <row r="2418" spans="1:20" x14ac:dyDescent="0.3">
      <c r="A2418" t="s">
        <v>4855</v>
      </c>
      <c r="B2418" s="171" t="s">
        <v>4856</v>
      </c>
      <c r="C2418" s="171" t="s">
        <v>215</v>
      </c>
      <c r="D2418" s="171" t="s">
        <v>4</v>
      </c>
      <c r="E2418" s="11">
        <v>41699</v>
      </c>
      <c r="H2418" t="e">
        <v>#DIV/0!</v>
      </c>
      <c r="K2418" t="e">
        <v>#DIV/0!</v>
      </c>
      <c r="M2418" t="e">
        <v>#DIV/0!</v>
      </c>
      <c r="R2418" t="e">
        <v>#DIV/0!</v>
      </c>
      <c r="T2418">
        <v>0.98</v>
      </c>
    </row>
    <row r="2419" spans="1:20" x14ac:dyDescent="0.3">
      <c r="A2419" t="s">
        <v>4857</v>
      </c>
      <c r="B2419" s="171" t="s">
        <v>4858</v>
      </c>
      <c r="C2419" s="171" t="s">
        <v>218</v>
      </c>
      <c r="D2419" s="171" t="s">
        <v>80</v>
      </c>
      <c r="E2419" s="11">
        <v>41699</v>
      </c>
      <c r="H2419" t="e">
        <v>#DIV/0!</v>
      </c>
      <c r="K2419" t="e">
        <v>#DIV/0!</v>
      </c>
      <c r="M2419" t="e">
        <v>#DIV/0!</v>
      </c>
      <c r="R2419" t="e">
        <v>#DIV/0!</v>
      </c>
      <c r="T2419">
        <v>0.53435897435897439</v>
      </c>
    </row>
    <row r="2420" spans="1:20" x14ac:dyDescent="0.3">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x14ac:dyDescent="0.3">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4865</v>
      </c>
      <c r="B2423" s="171" t="s">
        <v>4866</v>
      </c>
      <c r="C2423" s="171" t="s">
        <v>230</v>
      </c>
      <c r="D2423" s="171" t="s">
        <v>80</v>
      </c>
      <c r="E2423" s="11">
        <v>41699</v>
      </c>
      <c r="H2423" t="e">
        <v>#DIV/0!</v>
      </c>
      <c r="K2423" t="e">
        <v>#DIV/0!</v>
      </c>
      <c r="M2423" t="e">
        <v>#DIV/0!</v>
      </c>
      <c r="R2423" t="e">
        <v>#DIV/0!</v>
      </c>
    </row>
    <row r="2424" spans="1:20" x14ac:dyDescent="0.3">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x14ac:dyDescent="0.3">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x14ac:dyDescent="0.3">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4893</v>
      </c>
      <c r="B2437" s="171" t="s">
        <v>4894</v>
      </c>
      <c r="C2437" s="171" t="s">
        <v>116</v>
      </c>
      <c r="D2437" s="171" t="s">
        <v>4</v>
      </c>
      <c r="E2437" s="11">
        <v>41699</v>
      </c>
      <c r="H2437" t="e">
        <v>#DIV/0!</v>
      </c>
      <c r="K2437" t="e">
        <v>#DIV/0!</v>
      </c>
      <c r="M2437" t="e">
        <v>#DIV/0!</v>
      </c>
      <c r="R2437" t="e">
        <v>#DIV/0!</v>
      </c>
      <c r="T2437">
        <v>0.53333333333333333</v>
      </c>
    </row>
    <row r="2438" spans="1:20" x14ac:dyDescent="0.3">
      <c r="A2438" t="s">
        <v>4895</v>
      </c>
      <c r="B2438" s="171" t="s">
        <v>4896</v>
      </c>
      <c r="C2438" s="171" t="s">
        <v>119</v>
      </c>
      <c r="D2438" s="171" t="s">
        <v>4</v>
      </c>
      <c r="E2438" s="11">
        <v>41699</v>
      </c>
      <c r="H2438" t="e">
        <v>#DIV/0!</v>
      </c>
      <c r="K2438" t="e">
        <v>#DIV/0!</v>
      </c>
      <c r="M2438" t="e">
        <v>#DIV/0!</v>
      </c>
      <c r="R2438" t="e">
        <v>#DIV/0!</v>
      </c>
      <c r="T2438">
        <v>0.8</v>
      </c>
    </row>
    <row r="2439" spans="1:20" x14ac:dyDescent="0.3">
      <c r="A2439" t="s">
        <v>4897</v>
      </c>
      <c r="B2439" s="171" t="s">
        <v>4898</v>
      </c>
      <c r="C2439" s="171" t="s">
        <v>122</v>
      </c>
      <c r="D2439" s="171" t="s">
        <v>80</v>
      </c>
      <c r="E2439" s="11">
        <v>41699</v>
      </c>
      <c r="H2439" t="e">
        <v>#DIV/0!</v>
      </c>
      <c r="K2439" t="e">
        <v>#DIV/0!</v>
      </c>
      <c r="M2439" t="e">
        <v>#DIV/0!</v>
      </c>
      <c r="R2439" t="e">
        <v>#DIV/0!</v>
      </c>
    </row>
    <row r="2440" spans="1:20" x14ac:dyDescent="0.3">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4905</v>
      </c>
      <c r="B2443" s="171" t="s">
        <v>4906</v>
      </c>
      <c r="C2443" s="171" t="s">
        <v>134</v>
      </c>
      <c r="D2443" s="171" t="s">
        <v>4</v>
      </c>
      <c r="E2443" s="11">
        <v>41699</v>
      </c>
      <c r="H2443" t="e">
        <v>#DIV/0!</v>
      </c>
      <c r="K2443" t="e">
        <v>#DIV/0!</v>
      </c>
      <c r="M2443" t="e">
        <v>#DIV/0!</v>
      </c>
      <c r="N2443">
        <v>0</v>
      </c>
      <c r="R2443" t="e">
        <v>#DIV/0!</v>
      </c>
    </row>
    <row r="2444" spans="1:20" x14ac:dyDescent="0.3">
      <c r="A2444" t="s">
        <v>4907</v>
      </c>
      <c r="B2444" s="171" t="s">
        <v>4908</v>
      </c>
      <c r="C2444" s="171" t="s">
        <v>137</v>
      </c>
      <c r="D2444" s="171" t="s">
        <v>80</v>
      </c>
      <c r="E2444" s="11">
        <v>41699</v>
      </c>
      <c r="H2444" t="e">
        <v>#DIV/0!</v>
      </c>
      <c r="K2444" t="e">
        <v>#DIV/0!</v>
      </c>
      <c r="M2444" t="e">
        <v>#DIV/0!</v>
      </c>
      <c r="R2444" t="e">
        <v>#DIV/0!</v>
      </c>
    </row>
    <row r="2445" spans="1:20" x14ac:dyDescent="0.3">
      <c r="A2445" t="s">
        <v>4909</v>
      </c>
      <c r="B2445" s="171" t="s">
        <v>4910</v>
      </c>
      <c r="C2445" s="171" t="s">
        <v>140</v>
      </c>
      <c r="D2445" s="171" t="s">
        <v>4</v>
      </c>
      <c r="E2445" s="11">
        <v>41699</v>
      </c>
      <c r="H2445" t="e">
        <v>#DIV/0!</v>
      </c>
      <c r="K2445" t="e">
        <v>#DIV/0!</v>
      </c>
      <c r="M2445" t="e">
        <v>#DIV/0!</v>
      </c>
      <c r="R2445" t="e">
        <v>#DIV/0!</v>
      </c>
    </row>
    <row r="2446" spans="1:20" x14ac:dyDescent="0.3">
      <c r="A2446" t="s">
        <v>4911</v>
      </c>
      <c r="B2446" s="171" t="s">
        <v>4912</v>
      </c>
      <c r="C2446" s="171" t="s">
        <v>167</v>
      </c>
      <c r="D2446" s="171" t="s">
        <v>80</v>
      </c>
      <c r="E2446" s="11">
        <v>41699</v>
      </c>
      <c r="H2446" t="e">
        <v>#DIV/0!</v>
      </c>
      <c r="K2446" t="e">
        <v>#DIV/0!</v>
      </c>
      <c r="M2446" t="e">
        <v>#DIV/0!</v>
      </c>
      <c r="R2446" t="e">
        <v>#DIV/0!</v>
      </c>
    </row>
    <row r="2447" spans="1:20" x14ac:dyDescent="0.3">
      <c r="A2447" t="s">
        <v>4913</v>
      </c>
      <c r="B2447" s="171" t="s">
        <v>4914</v>
      </c>
      <c r="C2447" s="171" t="s">
        <v>170</v>
      </c>
      <c r="D2447" s="171" t="s">
        <v>4</v>
      </c>
      <c r="E2447" s="11">
        <v>41699</v>
      </c>
      <c r="H2447" t="e">
        <v>#DIV/0!</v>
      </c>
      <c r="K2447" t="e">
        <v>#DIV/0!</v>
      </c>
      <c r="M2447" t="e">
        <v>#DIV/0!</v>
      </c>
      <c r="R2447" t="e">
        <v>#DIV/0!</v>
      </c>
    </row>
    <row r="2448" spans="1:20" x14ac:dyDescent="0.3">
      <c r="A2448" t="s">
        <v>4915</v>
      </c>
      <c r="B2448" s="171" t="s">
        <v>4916</v>
      </c>
      <c r="C2448" s="171" t="s">
        <v>179</v>
      </c>
      <c r="D2448" s="171" t="s">
        <v>80</v>
      </c>
      <c r="E2448" s="11">
        <v>41699</v>
      </c>
      <c r="H2448" t="e">
        <v>#DIV/0!</v>
      </c>
      <c r="K2448" t="e">
        <v>#DIV/0!</v>
      </c>
      <c r="M2448" t="e">
        <v>#DIV/0!</v>
      </c>
      <c r="R2448" t="e">
        <v>#DIV/0!</v>
      </c>
    </row>
    <row r="2449" spans="1:20" x14ac:dyDescent="0.3">
      <c r="A2449" t="s">
        <v>4917</v>
      </c>
      <c r="B2449" s="171" t="s">
        <v>4918</v>
      </c>
      <c r="C2449" s="171" t="s">
        <v>182</v>
      </c>
      <c r="D2449" s="171" t="s">
        <v>4</v>
      </c>
      <c r="E2449" s="11">
        <v>41699</v>
      </c>
      <c r="H2449" t="e">
        <v>#DIV/0!</v>
      </c>
      <c r="K2449" t="e">
        <v>#DIV/0!</v>
      </c>
      <c r="M2449" t="e">
        <v>#DIV/0!</v>
      </c>
      <c r="R2449" t="e">
        <v>#DIV/0!</v>
      </c>
    </row>
    <row r="2450" spans="1:20" x14ac:dyDescent="0.3">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4927</v>
      </c>
      <c r="B2454" s="171" t="s">
        <v>4928</v>
      </c>
      <c r="C2454" s="171" t="s">
        <v>197</v>
      </c>
      <c r="D2454" s="171" t="s">
        <v>4</v>
      </c>
      <c r="E2454" s="11">
        <v>41699</v>
      </c>
      <c r="H2454" t="e">
        <v>#DIV/0!</v>
      </c>
      <c r="K2454" t="e">
        <v>#DIV/0!</v>
      </c>
      <c r="M2454" t="e">
        <v>#DIV/0!</v>
      </c>
      <c r="R2454" t="e">
        <v>#DIV/0!</v>
      </c>
    </row>
    <row r="2455" spans="1:20" x14ac:dyDescent="0.3">
      <c r="A2455" t="s">
        <v>4929</v>
      </c>
      <c r="B2455" s="171" t="s">
        <v>4930</v>
      </c>
      <c r="C2455" s="171" t="s">
        <v>209</v>
      </c>
      <c r="D2455" s="171" t="s">
        <v>4</v>
      </c>
      <c r="E2455" s="11">
        <v>41699</v>
      </c>
      <c r="H2455" t="e">
        <v>#DIV/0!</v>
      </c>
      <c r="K2455" t="e">
        <v>#DIV/0!</v>
      </c>
      <c r="M2455" t="e">
        <v>#DIV/0!</v>
      </c>
      <c r="R2455" t="e">
        <v>#DIV/0!</v>
      </c>
    </row>
    <row r="2456" spans="1:20" x14ac:dyDescent="0.3">
      <c r="A2456" t="s">
        <v>4931</v>
      </c>
      <c r="B2456" s="171" t="s">
        <v>4932</v>
      </c>
      <c r="C2456" s="171" t="s">
        <v>212</v>
      </c>
      <c r="D2456" s="171" t="s">
        <v>80</v>
      </c>
      <c r="E2456" s="11">
        <v>41699</v>
      </c>
      <c r="H2456" t="e">
        <v>#DIV/0!</v>
      </c>
      <c r="K2456" t="e">
        <v>#DIV/0!</v>
      </c>
      <c r="M2456" t="e">
        <v>#DIV/0!</v>
      </c>
      <c r="R2456" t="e">
        <v>#DIV/0!</v>
      </c>
      <c r="T2456">
        <v>0.69166666666666665</v>
      </c>
    </row>
    <row r="2457" spans="1:20" x14ac:dyDescent="0.3">
      <c r="A2457" t="s">
        <v>4933</v>
      </c>
      <c r="B2457" s="171" t="s">
        <v>4934</v>
      </c>
      <c r="C2457" s="171" t="s">
        <v>215</v>
      </c>
      <c r="D2457" s="171" t="s">
        <v>80</v>
      </c>
      <c r="E2457" s="11">
        <v>41699</v>
      </c>
      <c r="H2457" t="e">
        <v>#DIV/0!</v>
      </c>
      <c r="K2457" t="e">
        <v>#DIV/0!</v>
      </c>
      <c r="M2457" t="e">
        <v>#DIV/0!</v>
      </c>
      <c r="R2457" t="e">
        <v>#DIV/0!</v>
      </c>
    </row>
    <row r="2458" spans="1:20" x14ac:dyDescent="0.3">
      <c r="A2458" t="s">
        <v>4935</v>
      </c>
      <c r="B2458" s="171" t="s">
        <v>4936</v>
      </c>
      <c r="C2458" s="171" t="s">
        <v>218</v>
      </c>
      <c r="D2458" s="171" t="s">
        <v>4</v>
      </c>
      <c r="E2458" s="11">
        <v>41699</v>
      </c>
      <c r="H2458" t="e">
        <v>#DIV/0!</v>
      </c>
      <c r="K2458" t="e">
        <v>#DIV/0!</v>
      </c>
      <c r="M2458" t="e">
        <v>#DIV/0!</v>
      </c>
      <c r="R2458" t="e">
        <v>#DIV/0!</v>
      </c>
    </row>
    <row r="2459" spans="1:20" x14ac:dyDescent="0.3">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4943</v>
      </c>
      <c r="B2462" s="171" t="s">
        <v>4944</v>
      </c>
      <c r="C2462" s="171" t="s">
        <v>143</v>
      </c>
      <c r="D2462" s="171" t="s">
        <v>4</v>
      </c>
      <c r="E2462" s="11">
        <v>41699</v>
      </c>
      <c r="H2462" t="e">
        <v>#DIV/0!</v>
      </c>
      <c r="K2462" t="e">
        <v>#DIV/0!</v>
      </c>
      <c r="M2462" t="e">
        <v>#DIV/0!</v>
      </c>
      <c r="N2462">
        <v>0</v>
      </c>
      <c r="R2462" t="e">
        <v>#DIV/0!</v>
      </c>
      <c r="T2462">
        <v>0.80210312500000003</v>
      </c>
    </row>
    <row r="2463" spans="1:20" x14ac:dyDescent="0.3">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4947</v>
      </c>
      <c r="B2464" s="171" t="s">
        <v>4948</v>
      </c>
      <c r="C2464" s="171" t="s">
        <v>149</v>
      </c>
      <c r="D2464" s="171" t="s">
        <v>4</v>
      </c>
      <c r="E2464" s="11">
        <v>41699</v>
      </c>
      <c r="H2464" t="e">
        <v>#DIV/0!</v>
      </c>
      <c r="K2464" t="e">
        <v>#DIV/0!</v>
      </c>
      <c r="M2464" t="e">
        <v>#DIV/0!</v>
      </c>
      <c r="R2464" t="e">
        <v>#DIV/0!</v>
      </c>
    </row>
    <row r="2465" spans="1:20" x14ac:dyDescent="0.3">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x14ac:dyDescent="0.3">
      <c r="A2467" t="s">
        <v>4953</v>
      </c>
      <c r="B2467" s="171" t="s">
        <v>4954</v>
      </c>
      <c r="C2467" s="171" t="s">
        <v>158</v>
      </c>
      <c r="D2467" s="171" t="s">
        <v>4</v>
      </c>
      <c r="E2467" s="11">
        <v>41699</v>
      </c>
      <c r="H2467" t="e">
        <v>#DIV/0!</v>
      </c>
      <c r="K2467" t="e">
        <v>#DIV/0!</v>
      </c>
      <c r="M2467" t="e">
        <v>#DIV/0!</v>
      </c>
      <c r="R2467" t="e">
        <v>#DIV/0!</v>
      </c>
    </row>
    <row r="2468" spans="1:20" x14ac:dyDescent="0.3">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x14ac:dyDescent="0.3">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4965</v>
      </c>
      <c r="B2473" s="171" t="s">
        <v>4966</v>
      </c>
      <c r="C2473" s="171" t="s">
        <v>230</v>
      </c>
      <c r="D2473" s="171" t="s">
        <v>4</v>
      </c>
      <c r="E2473" s="11">
        <v>41699</v>
      </c>
      <c r="H2473" t="e">
        <v>#DIV/0!</v>
      </c>
      <c r="K2473" t="e">
        <v>#DIV/0!</v>
      </c>
      <c r="M2473" t="e">
        <v>#DIV/0!</v>
      </c>
      <c r="R2473" t="e">
        <v>#DIV/0!</v>
      </c>
      <c r="T2473">
        <v>0.71530625000000003</v>
      </c>
    </row>
    <row r="2474" spans="1:20" x14ac:dyDescent="0.3">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x14ac:dyDescent="0.3">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x14ac:dyDescent="0.3">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x14ac:dyDescent="0.3">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x14ac:dyDescent="0.3">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4995</v>
      </c>
      <c r="B2488" s="171" t="s">
        <v>4996</v>
      </c>
      <c r="C2488" s="171" t="s">
        <v>116</v>
      </c>
      <c r="D2488" s="171" t="s">
        <v>80</v>
      </c>
      <c r="E2488" s="11">
        <v>41730</v>
      </c>
      <c r="H2488" t="e">
        <v>#DIV/0!</v>
      </c>
      <c r="K2488" t="e">
        <v>#DIV/0!</v>
      </c>
      <c r="M2488" t="e">
        <v>#DIV/0!</v>
      </c>
      <c r="R2488" t="e">
        <v>#DIV/0!</v>
      </c>
      <c r="T2488">
        <v>1.075</v>
      </c>
    </row>
    <row r="2489" spans="1:20" x14ac:dyDescent="0.3">
      <c r="A2489" t="s">
        <v>4997</v>
      </c>
      <c r="B2489" s="171" t="s">
        <v>4998</v>
      </c>
      <c r="C2489" s="171" t="s">
        <v>119</v>
      </c>
      <c r="D2489" s="171" t="s">
        <v>80</v>
      </c>
      <c r="E2489" s="11">
        <v>41730</v>
      </c>
      <c r="H2489" t="e">
        <v>#DIV/0!</v>
      </c>
      <c r="K2489" t="e">
        <v>#DIV/0!</v>
      </c>
      <c r="M2489" t="e">
        <v>#DIV/0!</v>
      </c>
      <c r="R2489" t="e">
        <v>#DIV/0!</v>
      </c>
      <c r="T2489">
        <v>0.71906666666666674</v>
      </c>
    </row>
    <row r="2490" spans="1:20" x14ac:dyDescent="0.3">
      <c r="A2490" t="s">
        <v>4999</v>
      </c>
      <c r="B2490" s="171" t="s">
        <v>5000</v>
      </c>
      <c r="C2490" s="171" t="s">
        <v>122</v>
      </c>
      <c r="D2490" s="171" t="s">
        <v>4</v>
      </c>
      <c r="E2490" s="11">
        <v>41730</v>
      </c>
      <c r="H2490" t="e">
        <v>#DIV/0!</v>
      </c>
      <c r="K2490" t="e">
        <v>#DIV/0!</v>
      </c>
      <c r="M2490" t="e">
        <v>#DIV/0!</v>
      </c>
      <c r="R2490" t="e">
        <v>#DIV/0!</v>
      </c>
      <c r="T2490">
        <v>0.82899999999999996</v>
      </c>
    </row>
    <row r="2491" spans="1:20" x14ac:dyDescent="0.3">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5007</v>
      </c>
      <c r="B2494" s="171" t="s">
        <v>5008</v>
      </c>
      <c r="C2494" s="171" t="s">
        <v>134</v>
      </c>
      <c r="D2494" s="171" t="s">
        <v>80</v>
      </c>
      <c r="E2494" s="11">
        <v>41730</v>
      </c>
      <c r="N2494">
        <v>0</v>
      </c>
      <c r="T2494">
        <v>0.75</v>
      </c>
    </row>
    <row r="2495" spans="1:20" x14ac:dyDescent="0.3">
      <c r="A2495" t="s">
        <v>5009</v>
      </c>
      <c r="B2495" s="171" t="s">
        <v>5010</v>
      </c>
      <c r="C2495" s="171" t="s">
        <v>137</v>
      </c>
      <c r="D2495" s="171" t="s">
        <v>4</v>
      </c>
      <c r="E2495" s="11">
        <v>41730</v>
      </c>
      <c r="H2495" t="e">
        <v>#DIV/0!</v>
      </c>
      <c r="K2495" t="e">
        <v>#DIV/0!</v>
      </c>
      <c r="M2495" t="e">
        <v>#DIV/0!</v>
      </c>
      <c r="R2495" t="e">
        <v>#DIV/0!</v>
      </c>
      <c r="T2495">
        <v>0.33333333333333331</v>
      </c>
    </row>
    <row r="2496" spans="1:20" x14ac:dyDescent="0.3">
      <c r="A2496" t="s">
        <v>5011</v>
      </c>
      <c r="B2496" s="171" t="s">
        <v>5012</v>
      </c>
      <c r="C2496" s="171" t="s">
        <v>140</v>
      </c>
      <c r="D2496" s="171" t="s">
        <v>80</v>
      </c>
      <c r="E2496" s="11">
        <v>41730</v>
      </c>
      <c r="H2496" t="e">
        <v>#DIV/0!</v>
      </c>
      <c r="K2496" t="e">
        <v>#DIV/0!</v>
      </c>
      <c r="M2496" t="e">
        <v>#DIV/0!</v>
      </c>
      <c r="R2496" t="e">
        <v>#DIV/0!</v>
      </c>
      <c r="T2496">
        <v>0.8</v>
      </c>
    </row>
    <row r="2497" spans="1:20" x14ac:dyDescent="0.3">
      <c r="A2497" t="s">
        <v>5013</v>
      </c>
      <c r="B2497" s="171" t="s">
        <v>5014</v>
      </c>
      <c r="C2497" s="171" t="s">
        <v>143</v>
      </c>
      <c r="D2497" s="171" t="s">
        <v>80</v>
      </c>
      <c r="E2497" s="11">
        <v>41730</v>
      </c>
      <c r="H2497" t="e">
        <v>#DIV/0!</v>
      </c>
      <c r="K2497" t="e">
        <v>#DIV/0!</v>
      </c>
      <c r="M2497" t="e">
        <v>#DIV/0!</v>
      </c>
      <c r="N2497">
        <v>0</v>
      </c>
      <c r="R2497" t="e">
        <v>#DIV/0!</v>
      </c>
    </row>
    <row r="2498" spans="1:20" x14ac:dyDescent="0.3">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5017</v>
      </c>
      <c r="B2499" s="171" t="s">
        <v>5018</v>
      </c>
      <c r="C2499" s="171" t="s">
        <v>149</v>
      </c>
      <c r="D2499" s="171" t="s">
        <v>80</v>
      </c>
      <c r="E2499" s="11">
        <v>41730</v>
      </c>
      <c r="H2499" t="e">
        <v>#DIV/0!</v>
      </c>
      <c r="K2499" t="e">
        <v>#DIV/0!</v>
      </c>
      <c r="M2499" t="e">
        <v>#DIV/0!</v>
      </c>
      <c r="R2499" t="e">
        <v>#DIV/0!</v>
      </c>
    </row>
    <row r="2500" spans="1:20" x14ac:dyDescent="0.3">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x14ac:dyDescent="0.3">
      <c r="A2502" t="s">
        <v>5023</v>
      </c>
      <c r="B2502" s="171" t="s">
        <v>5024</v>
      </c>
      <c r="C2502" s="171" t="s">
        <v>158</v>
      </c>
      <c r="D2502" s="171" t="s">
        <v>80</v>
      </c>
      <c r="E2502" s="11">
        <v>41730</v>
      </c>
      <c r="H2502" t="e">
        <v>#DIV/0!</v>
      </c>
      <c r="K2502" t="e">
        <v>#DIV/0!</v>
      </c>
      <c r="M2502" t="e">
        <v>#DIV/0!</v>
      </c>
      <c r="R2502" t="e">
        <v>#DIV/0!</v>
      </c>
    </row>
    <row r="2503" spans="1:20" x14ac:dyDescent="0.3">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5027</v>
      </c>
      <c r="B2504" s="171" t="s">
        <v>5028</v>
      </c>
      <c r="C2504" s="171" t="s">
        <v>164</v>
      </c>
      <c r="D2504" s="171" t="s">
        <v>80</v>
      </c>
      <c r="E2504" s="11">
        <v>41730</v>
      </c>
      <c r="H2504" t="e">
        <v>#DIV/0!</v>
      </c>
      <c r="K2504" t="e">
        <v>#DIV/0!</v>
      </c>
      <c r="M2504" t="e">
        <v>#DIV/0!</v>
      </c>
      <c r="R2504" t="e">
        <v>#DIV/0!</v>
      </c>
    </row>
    <row r="2505" spans="1:20" x14ac:dyDescent="0.3">
      <c r="A2505" t="s">
        <v>5029</v>
      </c>
      <c r="B2505" s="171" t="s">
        <v>5030</v>
      </c>
      <c r="C2505" s="171" t="s">
        <v>167</v>
      </c>
      <c r="D2505" s="171" t="s">
        <v>4</v>
      </c>
      <c r="E2505" s="11">
        <v>41730</v>
      </c>
      <c r="H2505" t="e">
        <v>#DIV/0!</v>
      </c>
      <c r="K2505" t="e">
        <v>#DIV/0!</v>
      </c>
      <c r="M2505" t="e">
        <v>#DIV/0!</v>
      </c>
      <c r="R2505" t="e">
        <v>#DIV/0!</v>
      </c>
    </row>
    <row r="2506" spans="1:20" x14ac:dyDescent="0.3">
      <c r="A2506" t="s">
        <v>5031</v>
      </c>
      <c r="B2506" s="171" t="s">
        <v>5032</v>
      </c>
      <c r="C2506" s="171" t="s">
        <v>170</v>
      </c>
      <c r="D2506" s="171" t="s">
        <v>80</v>
      </c>
      <c r="E2506" s="11">
        <v>41730</v>
      </c>
      <c r="H2506" t="e">
        <v>#DIV/0!</v>
      </c>
      <c r="K2506" t="e">
        <v>#DIV/0!</v>
      </c>
      <c r="M2506" t="e">
        <v>#DIV/0!</v>
      </c>
      <c r="R2506" t="e">
        <v>#DIV/0!</v>
      </c>
    </row>
    <row r="2507" spans="1:20" x14ac:dyDescent="0.3">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x14ac:dyDescent="0.3">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5037</v>
      </c>
      <c r="B2509" s="171" t="s">
        <v>5038</v>
      </c>
      <c r="C2509" s="171" t="s">
        <v>179</v>
      </c>
      <c r="D2509" s="171" t="s">
        <v>4</v>
      </c>
      <c r="E2509" s="11">
        <v>41730</v>
      </c>
      <c r="H2509" t="e">
        <v>#DIV/0!</v>
      </c>
      <c r="K2509" t="e">
        <v>#DIV/0!</v>
      </c>
      <c r="M2509" t="e">
        <v>#DIV/0!</v>
      </c>
      <c r="R2509" t="e">
        <v>#DIV/0!</v>
      </c>
      <c r="T2509">
        <v>0.68803846153846149</v>
      </c>
    </row>
    <row r="2510" spans="1:20" x14ac:dyDescent="0.3">
      <c r="A2510" t="s">
        <v>5039</v>
      </c>
      <c r="B2510" s="171" t="s">
        <v>5040</v>
      </c>
      <c r="C2510" s="171" t="s">
        <v>182</v>
      </c>
      <c r="D2510" s="171" t="s">
        <v>80</v>
      </c>
      <c r="E2510" s="11">
        <v>41730</v>
      </c>
      <c r="H2510" t="e">
        <v>#DIV/0!</v>
      </c>
      <c r="K2510" t="e">
        <v>#DIV/0!</v>
      </c>
      <c r="M2510" t="e">
        <v>#DIV/0!</v>
      </c>
      <c r="R2510" t="e">
        <v>#DIV/0!</v>
      </c>
      <c r="T2510">
        <v>0.88888888888888884</v>
      </c>
    </row>
    <row r="2511" spans="1:20" x14ac:dyDescent="0.3">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x14ac:dyDescent="0.3">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x14ac:dyDescent="0.3">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5049</v>
      </c>
      <c r="B2515" s="171" t="s">
        <v>5050</v>
      </c>
      <c r="C2515" s="171" t="s">
        <v>197</v>
      </c>
      <c r="D2515" s="171" t="s">
        <v>80</v>
      </c>
      <c r="E2515" s="11">
        <v>41730</v>
      </c>
      <c r="H2515" t="e">
        <v>#DIV/0!</v>
      </c>
      <c r="K2515" t="e">
        <v>#DIV/0!</v>
      </c>
      <c r="M2515" t="e">
        <v>#DIV/0!</v>
      </c>
      <c r="R2515" t="e">
        <v>#DIV/0!</v>
      </c>
    </row>
    <row r="2516" spans="1:20" x14ac:dyDescent="0.3">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x14ac:dyDescent="0.3">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5057</v>
      </c>
      <c r="B2519" s="171" t="s">
        <v>5058</v>
      </c>
      <c r="C2519" s="171" t="s">
        <v>209</v>
      </c>
      <c r="D2519" s="171" t="s">
        <v>80</v>
      </c>
      <c r="E2519" s="11">
        <v>41730</v>
      </c>
      <c r="H2519" t="e">
        <v>#DIV/0!</v>
      </c>
      <c r="K2519" t="e">
        <v>#DIV/0!</v>
      </c>
      <c r="M2519" t="e">
        <v>#DIV/0!</v>
      </c>
      <c r="R2519" t="e">
        <v>#DIV/0!</v>
      </c>
      <c r="T2519">
        <v>1.075</v>
      </c>
    </row>
    <row r="2520" spans="1:20" x14ac:dyDescent="0.3">
      <c r="A2520" t="s">
        <v>5059</v>
      </c>
      <c r="B2520" s="171" t="s">
        <v>5060</v>
      </c>
      <c r="C2520" s="171" t="s">
        <v>212</v>
      </c>
      <c r="D2520" s="171" t="s">
        <v>4</v>
      </c>
      <c r="E2520" s="11">
        <v>41730</v>
      </c>
      <c r="H2520" t="e">
        <v>#DIV/0!</v>
      </c>
      <c r="K2520" t="e">
        <v>#DIV/0!</v>
      </c>
      <c r="M2520" t="e">
        <v>#DIV/0!</v>
      </c>
      <c r="R2520" t="e">
        <v>#DIV/0!</v>
      </c>
      <c r="T2520">
        <v>0.77403333333333335</v>
      </c>
    </row>
    <row r="2521" spans="1:20" x14ac:dyDescent="0.3">
      <c r="A2521" t="s">
        <v>5061</v>
      </c>
      <c r="B2521" s="171" t="s">
        <v>5062</v>
      </c>
      <c r="C2521" s="171" t="s">
        <v>215</v>
      </c>
      <c r="D2521" s="171" t="s">
        <v>4</v>
      </c>
      <c r="E2521" s="11">
        <v>41730</v>
      </c>
      <c r="H2521" t="e">
        <v>#DIV/0!</v>
      </c>
      <c r="K2521" t="e">
        <v>#DIV/0!</v>
      </c>
      <c r="M2521" t="e">
        <v>#DIV/0!</v>
      </c>
      <c r="R2521" t="e">
        <v>#DIV/0!</v>
      </c>
      <c r="T2521">
        <v>0.8</v>
      </c>
    </row>
    <row r="2522" spans="1:20" x14ac:dyDescent="0.3">
      <c r="A2522" t="s">
        <v>5063</v>
      </c>
      <c r="B2522" s="171" t="s">
        <v>5064</v>
      </c>
      <c r="C2522" s="171" t="s">
        <v>218</v>
      </c>
      <c r="D2522" s="171" t="s">
        <v>80</v>
      </c>
      <c r="E2522" s="11">
        <v>41730</v>
      </c>
      <c r="H2522" t="e">
        <v>#DIV/0!</v>
      </c>
      <c r="K2522" t="e">
        <v>#DIV/0!</v>
      </c>
      <c r="M2522" t="e">
        <v>#DIV/0!</v>
      </c>
      <c r="R2522" t="e">
        <v>#DIV/0!</v>
      </c>
    </row>
    <row r="2523" spans="1:20" x14ac:dyDescent="0.3">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x14ac:dyDescent="0.3">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5071</v>
      </c>
      <c r="B2526" s="171" t="s">
        <v>5072</v>
      </c>
      <c r="C2526" s="171" t="s">
        <v>230</v>
      </c>
      <c r="D2526" s="171" t="s">
        <v>80</v>
      </c>
      <c r="E2526" s="11">
        <v>41730</v>
      </c>
    </row>
    <row r="2527" spans="1:20" x14ac:dyDescent="0.3">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x14ac:dyDescent="0.3">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x14ac:dyDescent="0.3">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5099</v>
      </c>
      <c r="B2540" s="171" t="s">
        <v>5100</v>
      </c>
      <c r="C2540" s="171" t="s">
        <v>116</v>
      </c>
      <c r="D2540" s="171" t="s">
        <v>4</v>
      </c>
      <c r="E2540" s="11">
        <v>41730</v>
      </c>
      <c r="H2540" t="e">
        <v>#DIV/0!</v>
      </c>
      <c r="K2540" t="e">
        <v>#DIV/0!</v>
      </c>
      <c r="M2540" t="e">
        <v>#DIV/0!</v>
      </c>
      <c r="R2540" t="e">
        <v>#DIV/0!</v>
      </c>
    </row>
    <row r="2541" spans="1:20" x14ac:dyDescent="0.3">
      <c r="A2541" t="s">
        <v>5101</v>
      </c>
      <c r="B2541" s="171" t="s">
        <v>5102</v>
      </c>
      <c r="C2541" s="171" t="s">
        <v>119</v>
      </c>
      <c r="D2541" s="171" t="s">
        <v>4</v>
      </c>
      <c r="E2541" s="11">
        <v>41730</v>
      </c>
      <c r="H2541" t="e">
        <v>#DIV/0!</v>
      </c>
      <c r="K2541" t="e">
        <v>#DIV/0!</v>
      </c>
      <c r="M2541" t="e">
        <v>#DIV/0!</v>
      </c>
      <c r="R2541" t="e">
        <v>#DIV/0!</v>
      </c>
    </row>
    <row r="2542" spans="1:20" x14ac:dyDescent="0.3">
      <c r="A2542" t="s">
        <v>5103</v>
      </c>
      <c r="B2542" s="171" t="s">
        <v>5104</v>
      </c>
      <c r="C2542" s="171" t="s">
        <v>122</v>
      </c>
      <c r="D2542" s="171" t="s">
        <v>80</v>
      </c>
      <c r="E2542" s="11">
        <v>41730</v>
      </c>
      <c r="H2542" t="e">
        <v>#DIV/0!</v>
      </c>
      <c r="K2542" t="e">
        <v>#DIV/0!</v>
      </c>
      <c r="M2542" t="e">
        <v>#DIV/0!</v>
      </c>
      <c r="R2542" t="e">
        <v>#DIV/0!</v>
      </c>
      <c r="T2542">
        <v>0.37037037037037035</v>
      </c>
    </row>
    <row r="2543" spans="1:20" x14ac:dyDescent="0.3">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5111</v>
      </c>
      <c r="B2546" s="171" t="s">
        <v>5112</v>
      </c>
      <c r="C2546" s="171" t="s">
        <v>134</v>
      </c>
      <c r="D2546" s="171" t="s">
        <v>4</v>
      </c>
      <c r="E2546" s="11">
        <v>41730</v>
      </c>
      <c r="N2546">
        <v>0</v>
      </c>
      <c r="T2546">
        <v>0.95</v>
      </c>
    </row>
    <row r="2547" spans="1:20" x14ac:dyDescent="0.3">
      <c r="A2547" t="s">
        <v>5113</v>
      </c>
      <c r="B2547" s="171" t="s">
        <v>5114</v>
      </c>
      <c r="C2547" s="171" t="s">
        <v>137</v>
      </c>
      <c r="D2547" s="171" t="s">
        <v>80</v>
      </c>
      <c r="E2547" s="11">
        <v>41730</v>
      </c>
      <c r="H2547" t="e">
        <v>#DIV/0!</v>
      </c>
      <c r="K2547" t="e">
        <v>#DIV/0!</v>
      </c>
      <c r="M2547" t="e">
        <v>#DIV/0!</v>
      </c>
      <c r="R2547" t="e">
        <v>#DIV/0!</v>
      </c>
      <c r="T2547">
        <v>0.73109090909090912</v>
      </c>
    </row>
    <row r="2548" spans="1:20" x14ac:dyDescent="0.3">
      <c r="A2548" t="s">
        <v>5115</v>
      </c>
      <c r="B2548" s="171" t="s">
        <v>5116</v>
      </c>
      <c r="C2548" s="171" t="s">
        <v>140</v>
      </c>
      <c r="D2548" s="171" t="s">
        <v>4</v>
      </c>
      <c r="E2548" s="11">
        <v>41730</v>
      </c>
      <c r="H2548" t="e">
        <v>#DIV/0!</v>
      </c>
      <c r="K2548" t="e">
        <v>#DIV/0!</v>
      </c>
      <c r="M2548" t="e">
        <v>#DIV/0!</v>
      </c>
      <c r="R2548" t="e">
        <v>#DIV/0!</v>
      </c>
      <c r="T2548">
        <v>0.83299999999999996</v>
      </c>
    </row>
    <row r="2549" spans="1:20" x14ac:dyDescent="0.3">
      <c r="A2549" t="s">
        <v>5117</v>
      </c>
      <c r="B2549" s="171" t="s">
        <v>5118</v>
      </c>
      <c r="C2549" s="171" t="s">
        <v>167</v>
      </c>
      <c r="D2549" s="171" t="s">
        <v>80</v>
      </c>
      <c r="E2549" s="11">
        <v>41730</v>
      </c>
      <c r="H2549" t="e">
        <v>#DIV/0!</v>
      </c>
      <c r="K2549" t="e">
        <v>#DIV/0!</v>
      </c>
      <c r="M2549" t="e">
        <v>#DIV/0!</v>
      </c>
      <c r="R2549" t="e">
        <v>#DIV/0!</v>
      </c>
      <c r="T2549">
        <v>0.82699999999999996</v>
      </c>
    </row>
    <row r="2550" spans="1:20" x14ac:dyDescent="0.3">
      <c r="A2550" t="s">
        <v>5119</v>
      </c>
      <c r="B2550" s="171" t="s">
        <v>5120</v>
      </c>
      <c r="C2550" s="171" t="s">
        <v>170</v>
      </c>
      <c r="D2550" s="171" t="s">
        <v>4</v>
      </c>
      <c r="E2550" s="11">
        <v>41730</v>
      </c>
      <c r="H2550" t="e">
        <v>#DIV/0!</v>
      </c>
      <c r="K2550" t="e">
        <v>#DIV/0!</v>
      </c>
      <c r="M2550" t="e">
        <v>#DIV/0!</v>
      </c>
      <c r="R2550" t="e">
        <v>#DIV/0!</v>
      </c>
      <c r="T2550">
        <v>0.95299999999999996</v>
      </c>
    </row>
    <row r="2551" spans="1:20" x14ac:dyDescent="0.3">
      <c r="A2551" t="s">
        <v>5121</v>
      </c>
      <c r="B2551" s="171" t="s">
        <v>5122</v>
      </c>
      <c r="C2551" s="171" t="s">
        <v>179</v>
      </c>
      <c r="D2551" s="171" t="s">
        <v>80</v>
      </c>
      <c r="E2551" s="11">
        <v>41730</v>
      </c>
      <c r="H2551" t="e">
        <v>#DIV/0!</v>
      </c>
      <c r="K2551" t="e">
        <v>#DIV/0!</v>
      </c>
      <c r="M2551" t="e">
        <v>#DIV/0!</v>
      </c>
      <c r="R2551" t="e">
        <v>#DIV/0!</v>
      </c>
      <c r="T2551">
        <v>0.66666666666666663</v>
      </c>
    </row>
    <row r="2552" spans="1:20" x14ac:dyDescent="0.3">
      <c r="A2552" t="s">
        <v>5123</v>
      </c>
      <c r="B2552" s="171" t="s">
        <v>5124</v>
      </c>
      <c r="C2552" s="171" t="s">
        <v>182</v>
      </c>
      <c r="D2552" s="171" t="s">
        <v>4</v>
      </c>
      <c r="E2552" s="11">
        <v>41730</v>
      </c>
      <c r="H2552" t="e">
        <v>#DIV/0!</v>
      </c>
      <c r="K2552" t="e">
        <v>#DIV/0!</v>
      </c>
      <c r="M2552" t="e">
        <v>#DIV/0!</v>
      </c>
      <c r="R2552" t="e">
        <v>#DIV/0!</v>
      </c>
      <c r="T2552">
        <v>0.75</v>
      </c>
    </row>
    <row r="2553" spans="1:20" x14ac:dyDescent="0.3">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5133</v>
      </c>
      <c r="B2557" s="171" t="s">
        <v>5134</v>
      </c>
      <c r="C2557" s="171" t="s">
        <v>197</v>
      </c>
      <c r="D2557" s="171" t="s">
        <v>4</v>
      </c>
      <c r="E2557" s="11">
        <v>41730</v>
      </c>
      <c r="H2557" t="e">
        <v>#DIV/0!</v>
      </c>
      <c r="K2557" t="e">
        <v>#DIV/0!</v>
      </c>
      <c r="M2557" t="e">
        <v>#DIV/0!</v>
      </c>
      <c r="R2557" t="e">
        <v>#DIV/0!</v>
      </c>
    </row>
    <row r="2558" spans="1:20" x14ac:dyDescent="0.3">
      <c r="A2558" t="s">
        <v>5135</v>
      </c>
      <c r="B2558" s="171" t="s">
        <v>5136</v>
      </c>
      <c r="C2558" s="171" t="s">
        <v>209</v>
      </c>
      <c r="D2558" s="171" t="s">
        <v>4</v>
      </c>
      <c r="E2558" s="11">
        <v>41730</v>
      </c>
      <c r="H2558" t="e">
        <v>#DIV/0!</v>
      </c>
      <c r="K2558" t="e">
        <v>#DIV/0!</v>
      </c>
      <c r="M2558" t="e">
        <v>#DIV/0!</v>
      </c>
      <c r="R2558" t="e">
        <v>#DIV/0!</v>
      </c>
    </row>
    <row r="2559" spans="1:20" x14ac:dyDescent="0.3">
      <c r="A2559" t="s">
        <v>5137</v>
      </c>
      <c r="B2559" s="171" t="s">
        <v>5138</v>
      </c>
      <c r="C2559" s="171" t="s">
        <v>212</v>
      </c>
      <c r="D2559" s="171" t="s">
        <v>80</v>
      </c>
      <c r="E2559" s="11">
        <v>41730</v>
      </c>
      <c r="H2559" t="e">
        <v>#DIV/0!</v>
      </c>
      <c r="K2559" t="e">
        <v>#DIV/0!</v>
      </c>
      <c r="M2559" t="e">
        <v>#DIV/0!</v>
      </c>
      <c r="R2559" t="e">
        <v>#DIV/0!</v>
      </c>
    </row>
    <row r="2560" spans="1:20" x14ac:dyDescent="0.3">
      <c r="A2560" t="s">
        <v>5139</v>
      </c>
      <c r="B2560" s="171" t="s">
        <v>5140</v>
      </c>
      <c r="C2560" s="171" t="s">
        <v>215</v>
      </c>
      <c r="D2560" s="171" t="s">
        <v>80</v>
      </c>
      <c r="E2560" s="11">
        <v>41730</v>
      </c>
      <c r="H2560" t="e">
        <v>#DIV/0!</v>
      </c>
      <c r="K2560" t="e">
        <v>#DIV/0!</v>
      </c>
      <c r="M2560" t="e">
        <v>#DIV/0!</v>
      </c>
      <c r="R2560" t="e">
        <v>#DIV/0!</v>
      </c>
    </row>
    <row r="2561" spans="1:20" x14ac:dyDescent="0.3">
      <c r="A2561" t="s">
        <v>5141</v>
      </c>
      <c r="B2561" s="171" t="s">
        <v>5142</v>
      </c>
      <c r="C2561" s="171" t="s">
        <v>218</v>
      </c>
      <c r="D2561" s="171" t="s">
        <v>4</v>
      </c>
      <c r="E2561" s="11">
        <v>41730</v>
      </c>
      <c r="H2561" t="e">
        <v>#DIV/0!</v>
      </c>
      <c r="K2561" t="e">
        <v>#DIV/0!</v>
      </c>
      <c r="M2561" t="e">
        <v>#DIV/0!</v>
      </c>
      <c r="R2561" t="e">
        <v>#DIV/0!</v>
      </c>
    </row>
    <row r="2562" spans="1:20" x14ac:dyDescent="0.3">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5149</v>
      </c>
      <c r="B2565" s="171" t="s">
        <v>5150</v>
      </c>
      <c r="C2565" s="171" t="s">
        <v>143</v>
      </c>
      <c r="D2565" s="171" t="s">
        <v>4</v>
      </c>
      <c r="E2565" s="11">
        <v>41730</v>
      </c>
      <c r="H2565" t="e">
        <v>#DIV/0!</v>
      </c>
      <c r="K2565" t="e">
        <v>#DIV/0!</v>
      </c>
      <c r="M2565" t="e">
        <v>#DIV/0!</v>
      </c>
      <c r="N2565">
        <v>0</v>
      </c>
      <c r="R2565" t="e">
        <v>#DIV/0!</v>
      </c>
    </row>
    <row r="2566" spans="1:20" x14ac:dyDescent="0.3">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5153</v>
      </c>
      <c r="B2567" s="171" t="s">
        <v>5154</v>
      </c>
      <c r="C2567" s="171" t="s">
        <v>149</v>
      </c>
      <c r="D2567" s="171" t="s">
        <v>4</v>
      </c>
      <c r="E2567" s="11">
        <v>41730</v>
      </c>
      <c r="H2567" t="e">
        <v>#DIV/0!</v>
      </c>
      <c r="K2567" t="e">
        <v>#DIV/0!</v>
      </c>
      <c r="M2567" t="e">
        <v>#DIV/0!</v>
      </c>
      <c r="R2567" t="e">
        <v>#DIV/0!</v>
      </c>
      <c r="T2567">
        <v>0.66168518518518515</v>
      </c>
    </row>
    <row r="2568" spans="1:20" x14ac:dyDescent="0.3">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x14ac:dyDescent="0.3">
      <c r="A2570" t="s">
        <v>5159</v>
      </c>
      <c r="B2570" s="171" t="s">
        <v>5160</v>
      </c>
      <c r="C2570" s="171" t="s">
        <v>158</v>
      </c>
      <c r="D2570" s="171" t="s">
        <v>4</v>
      </c>
      <c r="E2570" s="11">
        <v>41730</v>
      </c>
      <c r="H2570" t="e">
        <v>#DIV/0!</v>
      </c>
      <c r="K2570" t="e">
        <v>#DIV/0!</v>
      </c>
      <c r="M2570" t="e">
        <v>#DIV/0!</v>
      </c>
      <c r="R2570" t="e">
        <v>#DIV/0!</v>
      </c>
    </row>
    <row r="2571" spans="1:20" x14ac:dyDescent="0.3">
      <c r="A2571" t="s">
        <v>5161</v>
      </c>
      <c r="B2571" s="171" t="s">
        <v>5162</v>
      </c>
      <c r="C2571" s="171" t="s">
        <v>164</v>
      </c>
      <c r="D2571" s="171" t="s">
        <v>4</v>
      </c>
      <c r="E2571" s="11">
        <v>41730</v>
      </c>
      <c r="H2571" t="e">
        <v>#DIV/0!</v>
      </c>
      <c r="K2571" t="e">
        <v>#DIV/0!</v>
      </c>
      <c r="M2571" t="e">
        <v>#DIV/0!</v>
      </c>
      <c r="R2571" t="e">
        <v>#DIV/0!</v>
      </c>
    </row>
    <row r="2572" spans="1:20" x14ac:dyDescent="0.3">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x14ac:dyDescent="0.3">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5171</v>
      </c>
      <c r="B2576" s="171" t="s">
        <v>5172</v>
      </c>
      <c r="C2576" s="171" t="s">
        <v>230</v>
      </c>
      <c r="D2576" s="171" t="s">
        <v>4</v>
      </c>
      <c r="E2576" s="11">
        <v>41730</v>
      </c>
      <c r="T2576">
        <v>0.90625</v>
      </c>
    </row>
    <row r="2577" spans="1:20" x14ac:dyDescent="0.3">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x14ac:dyDescent="0.3">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x14ac:dyDescent="0.3">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x14ac:dyDescent="0.3">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x14ac:dyDescent="0.3">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5201</v>
      </c>
      <c r="B2591" s="171" t="s">
        <v>5202</v>
      </c>
      <c r="C2591" s="171" t="s">
        <v>116</v>
      </c>
      <c r="D2591" s="171" t="s">
        <v>80</v>
      </c>
      <c r="E2591" s="11">
        <v>41760</v>
      </c>
      <c r="H2591" t="e">
        <v>#DIV/0!</v>
      </c>
      <c r="K2591" t="e">
        <v>#DIV/0!</v>
      </c>
      <c r="M2591" t="e">
        <v>#DIV/0!</v>
      </c>
      <c r="R2591" t="e">
        <v>#DIV/0!</v>
      </c>
      <c r="T2591">
        <v>0.8899999999999999</v>
      </c>
    </row>
    <row r="2592" spans="1:20" x14ac:dyDescent="0.3">
      <c r="A2592" t="s">
        <v>5203</v>
      </c>
      <c r="B2592" s="171" t="s">
        <v>5204</v>
      </c>
      <c r="C2592" s="171" t="s">
        <v>119</v>
      </c>
      <c r="D2592" s="171" t="s">
        <v>80</v>
      </c>
      <c r="E2592" s="11">
        <v>41760</v>
      </c>
      <c r="H2592" t="e">
        <v>#DIV/0!</v>
      </c>
      <c r="K2592" t="e">
        <v>#DIV/0!</v>
      </c>
      <c r="M2592" t="e">
        <v>#DIV/0!</v>
      </c>
      <c r="R2592" t="e">
        <v>#DIV/0!</v>
      </c>
      <c r="T2592">
        <v>0.65416666666666656</v>
      </c>
    </row>
    <row r="2593" spans="1:20" x14ac:dyDescent="0.3">
      <c r="A2593" t="s">
        <v>5205</v>
      </c>
      <c r="B2593" s="171" t="s">
        <v>5206</v>
      </c>
      <c r="C2593" s="171" t="s">
        <v>122</v>
      </c>
      <c r="D2593" s="171" t="s">
        <v>4</v>
      </c>
      <c r="E2593" s="11">
        <v>41760</v>
      </c>
      <c r="H2593" t="e">
        <v>#DIV/0!</v>
      </c>
      <c r="K2593" t="e">
        <v>#DIV/0!</v>
      </c>
      <c r="M2593" t="e">
        <v>#DIV/0!</v>
      </c>
      <c r="R2593" t="e">
        <v>#DIV/0!</v>
      </c>
      <c r="T2593">
        <v>0.91150442477876104</v>
      </c>
    </row>
    <row r="2594" spans="1:20" x14ac:dyDescent="0.3">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5213</v>
      </c>
      <c r="B2597" s="171" t="s">
        <v>5214</v>
      </c>
      <c r="C2597" s="171" t="s">
        <v>134</v>
      </c>
      <c r="D2597" s="171" t="s">
        <v>80</v>
      </c>
      <c r="E2597" s="11">
        <v>41760</v>
      </c>
      <c r="N2597">
        <v>0</v>
      </c>
    </row>
    <row r="2598" spans="1:20" x14ac:dyDescent="0.3">
      <c r="A2598" t="s">
        <v>5215</v>
      </c>
      <c r="B2598" s="171" t="s">
        <v>5216</v>
      </c>
      <c r="C2598" s="171" t="s">
        <v>137</v>
      </c>
      <c r="D2598" s="171" t="s">
        <v>4</v>
      </c>
      <c r="E2598" s="11">
        <v>41760</v>
      </c>
      <c r="H2598" t="e">
        <v>#DIV/0!</v>
      </c>
      <c r="K2598" t="e">
        <v>#DIV/0!</v>
      </c>
      <c r="M2598" t="e">
        <v>#DIV/0!</v>
      </c>
      <c r="R2598" t="e">
        <v>#DIV/0!</v>
      </c>
    </row>
    <row r="2599" spans="1:20" x14ac:dyDescent="0.3">
      <c r="A2599" t="s">
        <v>5217</v>
      </c>
      <c r="B2599" s="171" t="s">
        <v>5218</v>
      </c>
      <c r="C2599" s="171" t="s">
        <v>140</v>
      </c>
      <c r="D2599" s="171" t="s">
        <v>80</v>
      </c>
      <c r="E2599" s="11">
        <v>41760</v>
      </c>
      <c r="H2599" t="e">
        <v>#DIV/0!</v>
      </c>
      <c r="K2599" t="e">
        <v>#DIV/0!</v>
      </c>
      <c r="M2599" t="e">
        <v>#DIV/0!</v>
      </c>
      <c r="R2599" t="e">
        <v>#DIV/0!</v>
      </c>
    </row>
    <row r="2600" spans="1:20" x14ac:dyDescent="0.3">
      <c r="A2600" t="s">
        <v>5219</v>
      </c>
      <c r="B2600" s="171" t="s">
        <v>5220</v>
      </c>
      <c r="C2600" s="171" t="s">
        <v>143</v>
      </c>
      <c r="D2600" s="171" t="s">
        <v>80</v>
      </c>
      <c r="E2600" s="11">
        <v>41760</v>
      </c>
      <c r="H2600" t="e">
        <v>#DIV/0!</v>
      </c>
      <c r="K2600" t="e">
        <v>#DIV/0!</v>
      </c>
      <c r="M2600" t="e">
        <v>#DIV/0!</v>
      </c>
      <c r="N2600">
        <v>0</v>
      </c>
      <c r="R2600" t="e">
        <v>#DIV/0!</v>
      </c>
      <c r="T2600">
        <v>0.37037037037037035</v>
      </c>
    </row>
    <row r="2601" spans="1:20" x14ac:dyDescent="0.3">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5223</v>
      </c>
      <c r="B2602" s="171" t="s">
        <v>5224</v>
      </c>
      <c r="C2602" s="171" t="s">
        <v>149</v>
      </c>
      <c r="D2602" s="171" t="s">
        <v>80</v>
      </c>
      <c r="E2602" s="11">
        <v>41760</v>
      </c>
      <c r="H2602" t="e">
        <v>#DIV/0!</v>
      </c>
      <c r="K2602" t="e">
        <v>#DIV/0!</v>
      </c>
      <c r="M2602" t="e">
        <v>#DIV/0!</v>
      </c>
      <c r="R2602" t="e">
        <v>#DIV/0!</v>
      </c>
      <c r="T2602">
        <v>1.2250000000000001</v>
      </c>
    </row>
    <row r="2603" spans="1:20" x14ac:dyDescent="0.3">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5229</v>
      </c>
      <c r="B2605" s="171" t="s">
        <v>5230</v>
      </c>
      <c r="C2605" s="171" t="s">
        <v>158</v>
      </c>
      <c r="D2605" s="171" t="s">
        <v>80</v>
      </c>
      <c r="E2605" s="11">
        <v>41760</v>
      </c>
      <c r="H2605" t="e">
        <v>#DIV/0!</v>
      </c>
      <c r="K2605" t="e">
        <v>#DIV/0!</v>
      </c>
      <c r="M2605" t="e">
        <v>#DIV/0!</v>
      </c>
      <c r="R2605" t="e">
        <v>#DIV/0!</v>
      </c>
      <c r="T2605">
        <v>0.73109090909090912</v>
      </c>
    </row>
    <row r="2606" spans="1:20" x14ac:dyDescent="0.3">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5233</v>
      </c>
      <c r="B2607" s="171" t="s">
        <v>5234</v>
      </c>
      <c r="C2607" s="171" t="s">
        <v>164</v>
      </c>
      <c r="D2607" s="171" t="s">
        <v>80</v>
      </c>
      <c r="E2607" s="11">
        <v>41760</v>
      </c>
      <c r="H2607" t="e">
        <v>#DIV/0!</v>
      </c>
      <c r="K2607" t="e">
        <v>#DIV/0!</v>
      </c>
      <c r="M2607" t="e">
        <v>#DIV/0!</v>
      </c>
      <c r="R2607" t="e">
        <v>#DIV/0!</v>
      </c>
      <c r="T2607">
        <v>0.83</v>
      </c>
    </row>
    <row r="2608" spans="1:20" x14ac:dyDescent="0.3">
      <c r="A2608" t="s">
        <v>5235</v>
      </c>
      <c r="B2608" s="171" t="s">
        <v>5236</v>
      </c>
      <c r="C2608" s="171" t="s">
        <v>167</v>
      </c>
      <c r="D2608" s="171" t="s">
        <v>4</v>
      </c>
      <c r="E2608" s="11">
        <v>41760</v>
      </c>
      <c r="H2608" t="e">
        <v>#DIV/0!</v>
      </c>
      <c r="K2608" t="e">
        <v>#DIV/0!</v>
      </c>
      <c r="M2608" t="e">
        <v>#DIV/0!</v>
      </c>
      <c r="R2608" t="e">
        <v>#DIV/0!</v>
      </c>
      <c r="T2608">
        <v>0.95</v>
      </c>
    </row>
    <row r="2609" spans="1:20" x14ac:dyDescent="0.3">
      <c r="A2609" t="s">
        <v>5237</v>
      </c>
      <c r="B2609" s="171" t="s">
        <v>5238</v>
      </c>
      <c r="C2609" s="171" t="s">
        <v>170</v>
      </c>
      <c r="D2609" s="171" t="s">
        <v>80</v>
      </c>
      <c r="E2609" s="11">
        <v>41760</v>
      </c>
      <c r="H2609" t="e">
        <v>#DIV/0!</v>
      </c>
      <c r="K2609" t="e">
        <v>#DIV/0!</v>
      </c>
      <c r="M2609" t="e">
        <v>#DIV/0!</v>
      </c>
      <c r="R2609" t="e">
        <v>#DIV/0!</v>
      </c>
      <c r="T2609">
        <v>0.875</v>
      </c>
    </row>
    <row r="2610" spans="1:20" x14ac:dyDescent="0.3">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3">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5243</v>
      </c>
      <c r="B2612" s="171" t="s">
        <v>5244</v>
      </c>
      <c r="C2612" s="171" t="s">
        <v>179</v>
      </c>
      <c r="D2612" s="171" t="s">
        <v>4</v>
      </c>
      <c r="E2612" s="11">
        <v>41760</v>
      </c>
      <c r="H2612" t="e">
        <v>#DIV/0!</v>
      </c>
      <c r="K2612" t="e">
        <v>#DIV/0!</v>
      </c>
      <c r="M2612" t="e">
        <v>#DIV/0!</v>
      </c>
      <c r="R2612" t="e">
        <v>#DIV/0!</v>
      </c>
      <c r="T2612">
        <v>0.53846153846153844</v>
      </c>
    </row>
    <row r="2613" spans="1:20" x14ac:dyDescent="0.3">
      <c r="A2613" t="s">
        <v>5245</v>
      </c>
      <c r="B2613" s="171" t="s">
        <v>5246</v>
      </c>
      <c r="C2613" s="171" t="s">
        <v>182</v>
      </c>
      <c r="D2613" s="171" t="s">
        <v>80</v>
      </c>
      <c r="E2613" s="11">
        <v>41760</v>
      </c>
      <c r="H2613" t="e">
        <v>#DIV/0!</v>
      </c>
      <c r="K2613" t="e">
        <v>#DIV/0!</v>
      </c>
      <c r="M2613" t="e">
        <v>#DIV/0!</v>
      </c>
      <c r="R2613" t="e">
        <v>#DIV/0!</v>
      </c>
    </row>
    <row r="2614" spans="1:20" x14ac:dyDescent="0.3">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x14ac:dyDescent="0.3">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5255</v>
      </c>
      <c r="B2618" s="171" t="s">
        <v>5256</v>
      </c>
      <c r="C2618" s="171" t="s">
        <v>197</v>
      </c>
      <c r="D2618" s="171" t="s">
        <v>80</v>
      </c>
      <c r="E2618" s="11">
        <v>41760</v>
      </c>
      <c r="H2618" t="e">
        <v>#DIV/0!</v>
      </c>
      <c r="K2618" t="e">
        <v>#DIV/0!</v>
      </c>
      <c r="M2618" t="e">
        <v>#DIV/0!</v>
      </c>
      <c r="R2618" t="e">
        <v>#DIV/0!</v>
      </c>
      <c r="T2618">
        <v>0.88636363636363635</v>
      </c>
    </row>
    <row r="2619" spans="1:20" x14ac:dyDescent="0.3">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5259</v>
      </c>
      <c r="B2620" s="171" t="s">
        <v>5260</v>
      </c>
      <c r="C2620" s="171" t="s">
        <v>203</v>
      </c>
      <c r="D2620" s="171" t="s">
        <v>80</v>
      </c>
      <c r="E2620" s="11">
        <v>41760</v>
      </c>
      <c r="F2620">
        <v>6</v>
      </c>
      <c r="G2620">
        <v>6</v>
      </c>
      <c r="H2620">
        <v>1</v>
      </c>
      <c r="J2620">
        <v>27</v>
      </c>
      <c r="K2620">
        <v>0</v>
      </c>
      <c r="L2620">
        <v>27</v>
      </c>
      <c r="M2620">
        <v>1</v>
      </c>
      <c r="R2620" t="e">
        <v>#DIV/0!</v>
      </c>
    </row>
    <row r="2621" spans="1:20" x14ac:dyDescent="0.3">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x14ac:dyDescent="0.3">
      <c r="A2622" t="s">
        <v>5263</v>
      </c>
      <c r="B2622" s="171" t="s">
        <v>5264</v>
      </c>
      <c r="C2622" s="171" t="s">
        <v>209</v>
      </c>
      <c r="D2622" s="171" t="s">
        <v>80</v>
      </c>
      <c r="E2622" s="11">
        <v>41760</v>
      </c>
      <c r="H2622" t="e">
        <v>#DIV/0!</v>
      </c>
      <c r="K2622" t="e">
        <v>#DIV/0!</v>
      </c>
      <c r="M2622" t="e">
        <v>#DIV/0!</v>
      </c>
      <c r="R2622" t="e">
        <v>#DIV/0!</v>
      </c>
    </row>
    <row r="2623" spans="1:20" x14ac:dyDescent="0.3">
      <c r="A2623" t="s">
        <v>5265</v>
      </c>
      <c r="B2623" s="171" t="s">
        <v>5266</v>
      </c>
      <c r="C2623" s="171" t="s">
        <v>212</v>
      </c>
      <c r="D2623" s="171" t="s">
        <v>4</v>
      </c>
      <c r="E2623" s="11">
        <v>41760</v>
      </c>
      <c r="H2623" t="e">
        <v>#DIV/0!</v>
      </c>
      <c r="K2623" t="e">
        <v>#DIV/0!</v>
      </c>
      <c r="M2623" t="e">
        <v>#DIV/0!</v>
      </c>
      <c r="R2623" t="e">
        <v>#DIV/0!</v>
      </c>
    </row>
    <row r="2624" spans="1:20" x14ac:dyDescent="0.3">
      <c r="A2624" t="s">
        <v>5267</v>
      </c>
      <c r="B2624" s="171" t="s">
        <v>5268</v>
      </c>
      <c r="C2624" s="171" t="s">
        <v>215</v>
      </c>
      <c r="D2624" s="171" t="s">
        <v>4</v>
      </c>
      <c r="E2624" s="11">
        <v>41760</v>
      </c>
      <c r="H2624" t="e">
        <v>#DIV/0!</v>
      </c>
      <c r="K2624" t="e">
        <v>#DIV/0!</v>
      </c>
      <c r="M2624" t="e">
        <v>#DIV/0!</v>
      </c>
      <c r="R2624" t="e">
        <v>#DIV/0!</v>
      </c>
      <c r="T2624">
        <v>0.83</v>
      </c>
    </row>
    <row r="2625" spans="1:20" x14ac:dyDescent="0.3">
      <c r="A2625" t="s">
        <v>5269</v>
      </c>
      <c r="B2625" s="171" t="s">
        <v>5270</v>
      </c>
      <c r="C2625" s="171" t="s">
        <v>218</v>
      </c>
      <c r="D2625" s="171" t="s">
        <v>80</v>
      </c>
      <c r="E2625" s="11">
        <v>41760</v>
      </c>
      <c r="H2625" t="e">
        <v>#DIV/0!</v>
      </c>
      <c r="K2625" t="e">
        <v>#DIV/0!</v>
      </c>
      <c r="M2625" t="e">
        <v>#DIV/0!</v>
      </c>
      <c r="R2625" t="e">
        <v>#DIV/0!</v>
      </c>
      <c r="T2625">
        <v>0.66018518518518521</v>
      </c>
    </row>
    <row r="2626" spans="1:20" x14ac:dyDescent="0.3">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x14ac:dyDescent="0.3">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5277</v>
      </c>
      <c r="B2629" s="171" t="s">
        <v>5278</v>
      </c>
      <c r="C2629" s="171" t="s">
        <v>230</v>
      </c>
      <c r="D2629" s="171" t="s">
        <v>80</v>
      </c>
      <c r="E2629" s="11">
        <v>41760</v>
      </c>
    </row>
    <row r="2630" spans="1:20" x14ac:dyDescent="0.3">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x14ac:dyDescent="0.3">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x14ac:dyDescent="0.3">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5305</v>
      </c>
      <c r="B2643" s="171" t="s">
        <v>5306</v>
      </c>
      <c r="C2643" s="171" t="s">
        <v>116</v>
      </c>
      <c r="D2643" s="171" t="s">
        <v>4</v>
      </c>
      <c r="E2643" s="11">
        <v>41760</v>
      </c>
      <c r="H2643" t="e">
        <v>#DIV/0!</v>
      </c>
      <c r="K2643" t="e">
        <v>#DIV/0!</v>
      </c>
      <c r="M2643" t="e">
        <v>#DIV/0!</v>
      </c>
      <c r="R2643" t="e">
        <v>#DIV/0!</v>
      </c>
    </row>
    <row r="2644" spans="1:20" x14ac:dyDescent="0.3">
      <c r="A2644" t="s">
        <v>5307</v>
      </c>
      <c r="B2644" s="171" t="s">
        <v>5308</v>
      </c>
      <c r="C2644" s="171" t="s">
        <v>119</v>
      </c>
      <c r="D2644" s="171" t="s">
        <v>4</v>
      </c>
      <c r="E2644" s="11">
        <v>41760</v>
      </c>
      <c r="H2644" t="e">
        <v>#DIV/0!</v>
      </c>
      <c r="K2644" t="e">
        <v>#DIV/0!</v>
      </c>
      <c r="M2644" t="e">
        <v>#DIV/0!</v>
      </c>
      <c r="R2644" t="e">
        <v>#DIV/0!</v>
      </c>
    </row>
    <row r="2645" spans="1:20" x14ac:dyDescent="0.3">
      <c r="A2645" t="s">
        <v>5309</v>
      </c>
      <c r="B2645" s="171" t="s">
        <v>5310</v>
      </c>
      <c r="C2645" s="171" t="s">
        <v>122</v>
      </c>
      <c r="D2645" s="171" t="s">
        <v>80</v>
      </c>
      <c r="E2645" s="11">
        <v>41760</v>
      </c>
      <c r="H2645" t="e">
        <v>#DIV/0!</v>
      </c>
      <c r="K2645" t="e">
        <v>#DIV/0!</v>
      </c>
      <c r="M2645" t="e">
        <v>#DIV/0!</v>
      </c>
      <c r="R2645" t="e">
        <v>#DIV/0!</v>
      </c>
      <c r="T2645">
        <v>0.37037037037037035</v>
      </c>
    </row>
    <row r="2646" spans="1:20" x14ac:dyDescent="0.3">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5317</v>
      </c>
      <c r="B2649" s="171" t="s">
        <v>5318</v>
      </c>
      <c r="C2649" s="171" t="s">
        <v>134</v>
      </c>
      <c r="D2649" s="171" t="s">
        <v>4</v>
      </c>
      <c r="E2649" s="11">
        <v>41760</v>
      </c>
      <c r="N2649">
        <v>0</v>
      </c>
      <c r="T2649">
        <v>0.8899999999999999</v>
      </c>
    </row>
    <row r="2650" spans="1:20" x14ac:dyDescent="0.3">
      <c r="A2650" t="s">
        <v>5319</v>
      </c>
      <c r="B2650" s="171" t="s">
        <v>5320</v>
      </c>
      <c r="C2650" s="171" t="s">
        <v>137</v>
      </c>
      <c r="D2650" s="171" t="s">
        <v>80</v>
      </c>
      <c r="E2650" s="11">
        <v>41760</v>
      </c>
      <c r="H2650" t="e">
        <v>#DIV/0!</v>
      </c>
      <c r="K2650" t="e">
        <v>#DIV/0!</v>
      </c>
      <c r="M2650" t="e">
        <v>#DIV/0!</v>
      </c>
      <c r="R2650" t="e">
        <v>#DIV/0!</v>
      </c>
      <c r="T2650">
        <v>0.68149038461538458</v>
      </c>
    </row>
    <row r="2651" spans="1:20" x14ac:dyDescent="0.3">
      <c r="A2651" t="s">
        <v>5321</v>
      </c>
      <c r="B2651" s="171" t="s">
        <v>5322</v>
      </c>
      <c r="C2651" s="171" t="s">
        <v>140</v>
      </c>
      <c r="D2651" s="171" t="s">
        <v>4</v>
      </c>
      <c r="E2651" s="11">
        <v>41760</v>
      </c>
      <c r="H2651" t="e">
        <v>#DIV/0!</v>
      </c>
      <c r="K2651" t="e">
        <v>#DIV/0!</v>
      </c>
      <c r="M2651" t="e">
        <v>#DIV/0!</v>
      </c>
      <c r="R2651" t="e">
        <v>#DIV/0!</v>
      </c>
      <c r="T2651">
        <v>0.89893403057119869</v>
      </c>
    </row>
    <row r="2652" spans="1:20" x14ac:dyDescent="0.3">
      <c r="A2652" t="s">
        <v>5323</v>
      </c>
      <c r="B2652" s="171" t="s">
        <v>5324</v>
      </c>
      <c r="C2652" s="171" t="s">
        <v>167</v>
      </c>
      <c r="D2652" s="171" t="s">
        <v>80</v>
      </c>
      <c r="E2652" s="11">
        <v>41760</v>
      </c>
      <c r="H2652" t="e">
        <v>#DIV/0!</v>
      </c>
      <c r="K2652" t="e">
        <v>#DIV/0!</v>
      </c>
      <c r="M2652" t="e">
        <v>#DIV/0!</v>
      </c>
      <c r="R2652" t="e">
        <v>#DIV/0!</v>
      </c>
    </row>
    <row r="2653" spans="1:20" x14ac:dyDescent="0.3">
      <c r="A2653" t="s">
        <v>5325</v>
      </c>
      <c r="B2653" s="171" t="s">
        <v>5326</v>
      </c>
      <c r="C2653" s="171" t="s">
        <v>170</v>
      </c>
      <c r="D2653" s="171" t="s">
        <v>4</v>
      </c>
      <c r="E2653" s="11">
        <v>41760</v>
      </c>
      <c r="H2653" t="e">
        <v>#DIV/0!</v>
      </c>
      <c r="K2653" t="e">
        <v>#DIV/0!</v>
      </c>
      <c r="M2653" t="e">
        <v>#DIV/0!</v>
      </c>
      <c r="R2653" t="e">
        <v>#DIV/0!</v>
      </c>
      <c r="T2653">
        <v>0.78581700399731358</v>
      </c>
    </row>
    <row r="2654" spans="1:20" x14ac:dyDescent="0.3">
      <c r="A2654" t="s">
        <v>5327</v>
      </c>
      <c r="B2654" s="171" t="s">
        <v>5328</v>
      </c>
      <c r="C2654" s="171" t="s">
        <v>179</v>
      </c>
      <c r="D2654" s="171" t="s">
        <v>80</v>
      </c>
      <c r="E2654" s="11">
        <v>41760</v>
      </c>
      <c r="H2654" t="e">
        <v>#DIV/0!</v>
      </c>
      <c r="K2654" t="e">
        <v>#DIV/0!</v>
      </c>
      <c r="M2654" t="e">
        <v>#DIV/0!</v>
      </c>
      <c r="R2654" t="e">
        <v>#DIV/0!</v>
      </c>
    </row>
    <row r="2655" spans="1:20" x14ac:dyDescent="0.3">
      <c r="A2655" t="s">
        <v>5329</v>
      </c>
      <c r="B2655" s="171" t="s">
        <v>5330</v>
      </c>
      <c r="C2655" s="171" t="s">
        <v>182</v>
      </c>
      <c r="D2655" s="171" t="s">
        <v>4</v>
      </c>
      <c r="E2655" s="11">
        <v>41760</v>
      </c>
      <c r="H2655" t="e">
        <v>#DIV/0!</v>
      </c>
      <c r="K2655" t="e">
        <v>#DIV/0!</v>
      </c>
      <c r="M2655" t="e">
        <v>#DIV/0!</v>
      </c>
      <c r="R2655" t="e">
        <v>#DIV/0!</v>
      </c>
    </row>
    <row r="2656" spans="1:20" x14ac:dyDescent="0.3">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x14ac:dyDescent="0.3">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x14ac:dyDescent="0.3">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5339</v>
      </c>
      <c r="B2660" s="171" t="s">
        <v>5340</v>
      </c>
      <c r="C2660" s="171" t="s">
        <v>197</v>
      </c>
      <c r="D2660" s="171" t="s">
        <v>4</v>
      </c>
      <c r="E2660" s="11">
        <v>41760</v>
      </c>
      <c r="H2660" t="e">
        <v>#DIV/0!</v>
      </c>
      <c r="K2660" t="e">
        <v>#DIV/0!</v>
      </c>
      <c r="M2660" t="e">
        <v>#DIV/0!</v>
      </c>
      <c r="R2660" t="e">
        <v>#DIV/0!</v>
      </c>
      <c r="T2660">
        <v>1.0325</v>
      </c>
    </row>
    <row r="2661" spans="1:20" x14ac:dyDescent="0.3">
      <c r="A2661" t="s">
        <v>5341</v>
      </c>
      <c r="B2661" s="171" t="s">
        <v>5342</v>
      </c>
      <c r="C2661" s="171" t="s">
        <v>209</v>
      </c>
      <c r="D2661" s="171" t="s">
        <v>4</v>
      </c>
      <c r="E2661" s="11">
        <v>41760</v>
      </c>
      <c r="H2661" t="e">
        <v>#DIV/0!</v>
      </c>
      <c r="K2661" t="e">
        <v>#DIV/0!</v>
      </c>
      <c r="M2661" t="e">
        <v>#DIV/0!</v>
      </c>
      <c r="R2661" t="e">
        <v>#DIV/0!</v>
      </c>
      <c r="T2661">
        <v>0.85</v>
      </c>
    </row>
    <row r="2662" spans="1:20" x14ac:dyDescent="0.3">
      <c r="A2662" t="s">
        <v>5343</v>
      </c>
      <c r="B2662" s="171" t="s">
        <v>5344</v>
      </c>
      <c r="C2662" s="171" t="s">
        <v>212</v>
      </c>
      <c r="D2662" s="171" t="s">
        <v>80</v>
      </c>
      <c r="E2662" s="11">
        <v>41760</v>
      </c>
      <c r="H2662" t="e">
        <v>#DIV/0!</v>
      </c>
      <c r="K2662" t="e">
        <v>#DIV/0!</v>
      </c>
      <c r="M2662" t="e">
        <v>#DIV/0!</v>
      </c>
      <c r="R2662" t="e">
        <v>#DIV/0!</v>
      </c>
      <c r="T2662">
        <v>1.075</v>
      </c>
    </row>
    <row r="2663" spans="1:20" x14ac:dyDescent="0.3">
      <c r="A2663" t="s">
        <v>5345</v>
      </c>
      <c r="B2663" s="171" t="s">
        <v>5346</v>
      </c>
      <c r="C2663" s="171" t="s">
        <v>215</v>
      </c>
      <c r="D2663" s="171" t="s">
        <v>80</v>
      </c>
      <c r="E2663" s="11">
        <v>41760</v>
      </c>
      <c r="H2663" t="e">
        <v>#DIV/0!</v>
      </c>
      <c r="K2663" t="e">
        <v>#DIV/0!</v>
      </c>
      <c r="M2663" t="e">
        <v>#DIV/0!</v>
      </c>
      <c r="R2663" t="e">
        <v>#DIV/0!</v>
      </c>
      <c r="T2663">
        <v>0.66644000000000003</v>
      </c>
    </row>
    <row r="2664" spans="1:20" x14ac:dyDescent="0.3">
      <c r="A2664" t="s">
        <v>5347</v>
      </c>
      <c r="B2664" s="171" t="s">
        <v>5348</v>
      </c>
      <c r="C2664" s="171" t="s">
        <v>218</v>
      </c>
      <c r="D2664" s="171" t="s">
        <v>4</v>
      </c>
      <c r="E2664" s="11">
        <v>41760</v>
      </c>
      <c r="H2664" t="e">
        <v>#DIV/0!</v>
      </c>
      <c r="K2664" t="e">
        <v>#DIV/0!</v>
      </c>
      <c r="M2664" t="e">
        <v>#DIV/0!</v>
      </c>
      <c r="R2664" t="e">
        <v>#DIV/0!</v>
      </c>
      <c r="T2664">
        <v>0.82399999999999995</v>
      </c>
    </row>
    <row r="2665" spans="1:20" x14ac:dyDescent="0.3">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5355</v>
      </c>
      <c r="B2668" s="171" t="s">
        <v>5356</v>
      </c>
      <c r="C2668" s="171" t="s">
        <v>143</v>
      </c>
      <c r="D2668" s="171" t="s">
        <v>4</v>
      </c>
      <c r="E2668" s="11">
        <v>41760</v>
      </c>
      <c r="H2668" t="e">
        <v>#DIV/0!</v>
      </c>
      <c r="K2668" t="e">
        <v>#DIV/0!</v>
      </c>
      <c r="M2668" t="e">
        <v>#DIV/0!</v>
      </c>
      <c r="N2668">
        <v>0</v>
      </c>
      <c r="R2668" t="e">
        <v>#DIV/0!</v>
      </c>
    </row>
    <row r="2669" spans="1:20" x14ac:dyDescent="0.3">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5359</v>
      </c>
      <c r="B2670" s="171" t="s">
        <v>5360</v>
      </c>
      <c r="C2670" s="171" t="s">
        <v>149</v>
      </c>
      <c r="D2670" s="171" t="s">
        <v>4</v>
      </c>
      <c r="E2670" s="11">
        <v>41760</v>
      </c>
      <c r="H2670" t="e">
        <v>#DIV/0!</v>
      </c>
      <c r="K2670" t="e">
        <v>#DIV/0!</v>
      </c>
      <c r="M2670" t="e">
        <v>#DIV/0!</v>
      </c>
      <c r="R2670" t="e">
        <v>#DIV/0!</v>
      </c>
      <c r="T2670">
        <v>0.53846153846153844</v>
      </c>
    </row>
    <row r="2671" spans="1:20" x14ac:dyDescent="0.3">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5365</v>
      </c>
      <c r="B2673" s="171" t="s">
        <v>5366</v>
      </c>
      <c r="C2673" s="171" t="s">
        <v>158</v>
      </c>
      <c r="D2673" s="171" t="s">
        <v>4</v>
      </c>
      <c r="E2673" s="11">
        <v>41760</v>
      </c>
      <c r="H2673" t="e">
        <v>#DIV/0!</v>
      </c>
      <c r="K2673" t="e">
        <v>#DIV/0!</v>
      </c>
      <c r="M2673" t="e">
        <v>#DIV/0!</v>
      </c>
      <c r="R2673" t="e">
        <v>#DIV/0!</v>
      </c>
    </row>
    <row r="2674" spans="1:20" x14ac:dyDescent="0.3">
      <c r="A2674" t="s">
        <v>5367</v>
      </c>
      <c r="B2674" s="171" t="s">
        <v>5368</v>
      </c>
      <c r="C2674" s="171" t="s">
        <v>164</v>
      </c>
      <c r="D2674" s="171" t="s">
        <v>4</v>
      </c>
      <c r="E2674" s="11">
        <v>41760</v>
      </c>
      <c r="H2674" t="e">
        <v>#DIV/0!</v>
      </c>
      <c r="K2674" t="e">
        <v>#DIV/0!</v>
      </c>
      <c r="M2674" t="e">
        <v>#DIV/0!</v>
      </c>
      <c r="R2674" t="e">
        <v>#DIV/0!</v>
      </c>
    </row>
    <row r="2675" spans="1:20" x14ac:dyDescent="0.3">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x14ac:dyDescent="0.3">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5377</v>
      </c>
      <c r="B2679" s="171" t="s">
        <v>5378</v>
      </c>
      <c r="C2679" s="171" t="s">
        <v>230</v>
      </c>
      <c r="D2679" s="171" t="s">
        <v>4</v>
      </c>
      <c r="E2679" s="11">
        <v>41760</v>
      </c>
    </row>
    <row r="2680" spans="1:20" x14ac:dyDescent="0.3">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x14ac:dyDescent="0.3">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x14ac:dyDescent="0.3">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5407</v>
      </c>
      <c r="B2694" s="171" t="s">
        <v>5408</v>
      </c>
      <c r="C2694" s="171" t="s">
        <v>116</v>
      </c>
      <c r="D2694" s="171" t="s">
        <v>80</v>
      </c>
      <c r="E2694" s="11">
        <v>41791</v>
      </c>
      <c r="H2694" t="e">
        <v>#DIV/0!</v>
      </c>
      <c r="K2694" t="e">
        <v>#DIV/0!</v>
      </c>
      <c r="M2694" t="e">
        <v>#DIV/0!</v>
      </c>
      <c r="R2694" t="e">
        <v>#DIV/0!</v>
      </c>
      <c r="T2694">
        <v>0.74521999999999999</v>
      </c>
    </row>
    <row r="2695" spans="1:20" x14ac:dyDescent="0.3">
      <c r="A2695" t="s">
        <v>5409</v>
      </c>
      <c r="B2695" s="171" t="s">
        <v>5410</v>
      </c>
      <c r="C2695" s="171" t="s">
        <v>119</v>
      </c>
      <c r="D2695" s="171" t="s">
        <v>80</v>
      </c>
      <c r="E2695" s="11">
        <v>41791</v>
      </c>
      <c r="H2695" t="e">
        <v>#DIV/0!</v>
      </c>
      <c r="K2695" t="e">
        <v>#DIV/0!</v>
      </c>
      <c r="M2695" t="e">
        <v>#DIV/0!</v>
      </c>
      <c r="R2695" t="e">
        <v>#DIV/0!</v>
      </c>
      <c r="T2695">
        <v>0.53846153846153844</v>
      </c>
    </row>
    <row r="2696" spans="1:20" x14ac:dyDescent="0.3">
      <c r="A2696" t="s">
        <v>5411</v>
      </c>
      <c r="B2696" s="171" t="s">
        <v>5412</v>
      </c>
      <c r="C2696" s="171" t="s">
        <v>122</v>
      </c>
      <c r="D2696" s="171" t="s">
        <v>4</v>
      </c>
      <c r="E2696" s="11">
        <v>41791</v>
      </c>
      <c r="H2696" t="e">
        <v>#DIV/0!</v>
      </c>
      <c r="K2696" t="e">
        <v>#DIV/0!</v>
      </c>
      <c r="M2696" t="e">
        <v>#DIV/0!</v>
      </c>
      <c r="R2696" t="e">
        <v>#DIV/0!</v>
      </c>
      <c r="T2696" t="e">
        <v>#DIV/0!</v>
      </c>
    </row>
    <row r="2697" spans="1:20" x14ac:dyDescent="0.3">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x14ac:dyDescent="0.3">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5425</v>
      </c>
      <c r="B2703" s="171" t="s">
        <v>5426</v>
      </c>
      <c r="C2703" s="171" t="s">
        <v>143</v>
      </c>
      <c r="D2703" s="171" t="s">
        <v>80</v>
      </c>
      <c r="E2703" s="11">
        <v>41791</v>
      </c>
      <c r="H2703" t="e">
        <v>#DIV/0!</v>
      </c>
      <c r="K2703" t="e">
        <v>#DIV/0!</v>
      </c>
      <c r="M2703" t="e">
        <v>#DIV/0!</v>
      </c>
      <c r="N2703">
        <v>0</v>
      </c>
      <c r="R2703" t="e">
        <v>#DIV/0!</v>
      </c>
      <c r="T2703">
        <v>0.52631578947368418</v>
      </c>
    </row>
    <row r="2704" spans="1:20" x14ac:dyDescent="0.3">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5429</v>
      </c>
      <c r="B2705" s="171" t="s">
        <v>5430</v>
      </c>
      <c r="C2705" s="171" t="s">
        <v>149</v>
      </c>
      <c r="D2705" s="171" t="s">
        <v>80</v>
      </c>
      <c r="E2705" s="11">
        <v>41791</v>
      </c>
      <c r="H2705" t="e">
        <v>#DIV/0!</v>
      </c>
      <c r="K2705" t="e">
        <v>#DIV/0!</v>
      </c>
      <c r="M2705" t="e">
        <v>#DIV/0!</v>
      </c>
      <c r="R2705" t="e">
        <v>#DIV/0!</v>
      </c>
      <c r="T2705">
        <v>0.66644000000000003</v>
      </c>
    </row>
    <row r="2706" spans="1:20" x14ac:dyDescent="0.3">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5435</v>
      </c>
      <c r="B2708" s="171" t="s">
        <v>5436</v>
      </c>
      <c r="C2708" s="171" t="s">
        <v>158</v>
      </c>
      <c r="D2708" s="171" t="s">
        <v>80</v>
      </c>
      <c r="E2708" s="11">
        <v>41791</v>
      </c>
      <c r="H2708" t="e">
        <v>#DIV/0!</v>
      </c>
      <c r="K2708" t="e">
        <v>#DIV/0!</v>
      </c>
      <c r="M2708" t="e">
        <v>#DIV/0!</v>
      </c>
      <c r="R2708" t="e">
        <v>#DIV/0!</v>
      </c>
      <c r="T2708">
        <v>0.62393162393162394</v>
      </c>
    </row>
    <row r="2709" spans="1:20" x14ac:dyDescent="0.3">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5439</v>
      </c>
      <c r="B2710" s="171" t="s">
        <v>5440</v>
      </c>
      <c r="C2710" s="171" t="s">
        <v>164</v>
      </c>
      <c r="D2710" s="171" t="s">
        <v>80</v>
      </c>
      <c r="E2710" s="11">
        <v>41791</v>
      </c>
      <c r="H2710" t="e">
        <v>#DIV/0!</v>
      </c>
      <c r="K2710" t="e">
        <v>#DIV/0!</v>
      </c>
      <c r="M2710" t="e">
        <v>#DIV/0!</v>
      </c>
      <c r="R2710" t="e">
        <v>#DIV/0!</v>
      </c>
    </row>
    <row r="2711" spans="1:20" x14ac:dyDescent="0.3">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x14ac:dyDescent="0.3">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x14ac:dyDescent="0.3">
      <c r="A2715" t="s">
        <v>5449</v>
      </c>
      <c r="B2715" s="171" t="s">
        <v>5450</v>
      </c>
      <c r="C2715" s="171" t="s">
        <v>179</v>
      </c>
      <c r="D2715" s="171" t="s">
        <v>4</v>
      </c>
      <c r="E2715" s="11">
        <v>41791</v>
      </c>
      <c r="H2715" t="e">
        <v>#DIV/0!</v>
      </c>
      <c r="K2715" t="e">
        <v>#DIV/0!</v>
      </c>
      <c r="M2715" t="e">
        <v>#DIV/0!</v>
      </c>
      <c r="R2715" t="e">
        <v>#DIV/0!</v>
      </c>
    </row>
    <row r="2716" spans="1:20" x14ac:dyDescent="0.3">
      <c r="A2716" t="s">
        <v>5451</v>
      </c>
      <c r="B2716" s="171" t="s">
        <v>5452</v>
      </c>
      <c r="C2716" s="171" t="s">
        <v>182</v>
      </c>
      <c r="D2716" s="171" t="s">
        <v>80</v>
      </c>
      <c r="E2716" s="11">
        <v>41791</v>
      </c>
      <c r="H2716" t="e">
        <v>#DIV/0!</v>
      </c>
      <c r="K2716" t="e">
        <v>#DIV/0!</v>
      </c>
      <c r="M2716" t="e">
        <v>#DIV/0!</v>
      </c>
      <c r="R2716" t="e">
        <v>#DIV/0!</v>
      </c>
      <c r="T2716">
        <v>0.5</v>
      </c>
    </row>
    <row r="2717" spans="1:20" x14ac:dyDescent="0.3">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x14ac:dyDescent="0.3">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5469</v>
      </c>
      <c r="B2725" s="171" t="s">
        <v>5470</v>
      </c>
      <c r="C2725" s="171" t="s">
        <v>209</v>
      </c>
      <c r="D2725" s="171" t="s">
        <v>80</v>
      </c>
      <c r="E2725" s="11">
        <v>41791</v>
      </c>
      <c r="H2725" t="e">
        <v>#DIV/0!</v>
      </c>
      <c r="K2725" t="e">
        <v>#DIV/0!</v>
      </c>
      <c r="M2725" t="e">
        <v>#DIV/0!</v>
      </c>
      <c r="R2725" t="e">
        <v>#DIV/0!</v>
      </c>
      <c r="T2725">
        <v>0.625</v>
      </c>
    </row>
    <row r="2726" spans="1:20" x14ac:dyDescent="0.3">
      <c r="A2726" t="s">
        <v>5471</v>
      </c>
      <c r="B2726" s="171" t="s">
        <v>5472</v>
      </c>
      <c r="C2726" s="171" t="s">
        <v>212</v>
      </c>
      <c r="D2726" s="171" t="s">
        <v>4</v>
      </c>
      <c r="E2726" s="11">
        <v>41791</v>
      </c>
      <c r="H2726" t="e">
        <v>#DIV/0!</v>
      </c>
      <c r="K2726" t="e">
        <v>#DIV/0!</v>
      </c>
      <c r="M2726" t="e">
        <v>#DIV/0!</v>
      </c>
      <c r="R2726" t="e">
        <v>#DIV/0!</v>
      </c>
    </row>
    <row r="2727" spans="1:20" x14ac:dyDescent="0.3">
      <c r="A2727" t="s">
        <v>5473</v>
      </c>
      <c r="B2727" s="171" t="s">
        <v>5474</v>
      </c>
      <c r="C2727" s="171" t="s">
        <v>215</v>
      </c>
      <c r="D2727" s="171" t="s">
        <v>4</v>
      </c>
      <c r="E2727" s="11">
        <v>41791</v>
      </c>
      <c r="H2727" t="e">
        <v>#DIV/0!</v>
      </c>
      <c r="K2727" t="e">
        <v>#DIV/0!</v>
      </c>
      <c r="M2727" t="e">
        <v>#DIV/0!</v>
      </c>
      <c r="R2727" t="e">
        <v>#DIV/0!</v>
      </c>
      <c r="T2727">
        <v>0.23529411764705882</v>
      </c>
    </row>
    <row r="2728" spans="1:20" x14ac:dyDescent="0.3">
      <c r="A2728" t="s">
        <v>5475</v>
      </c>
      <c r="B2728" s="171" t="s">
        <v>5476</v>
      </c>
      <c r="C2728" s="171" t="s">
        <v>218</v>
      </c>
      <c r="D2728" s="171" t="s">
        <v>80</v>
      </c>
      <c r="E2728" s="11">
        <v>41791</v>
      </c>
      <c r="H2728" t="e">
        <v>#DIV/0!</v>
      </c>
      <c r="K2728" t="e">
        <v>#DIV/0!</v>
      </c>
      <c r="M2728" t="e">
        <v>#DIV/0!</v>
      </c>
      <c r="R2728" t="e">
        <v>#DIV/0!</v>
      </c>
      <c r="T2728">
        <v>0.53846153846153844</v>
      </c>
    </row>
    <row r="2729" spans="1:20" x14ac:dyDescent="0.3">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5479</v>
      </c>
      <c r="B2730" s="171" t="s">
        <v>5480</v>
      </c>
      <c r="C2730" s="171" t="s">
        <v>224</v>
      </c>
      <c r="D2730" s="171" t="s">
        <v>80</v>
      </c>
      <c r="E2730" s="11">
        <v>41791</v>
      </c>
      <c r="H2730" t="e">
        <v>#DIV/0!</v>
      </c>
      <c r="K2730" t="e">
        <v>#DIV/0!</v>
      </c>
      <c r="M2730" t="e">
        <v>#DIV/0!</v>
      </c>
      <c r="R2730" t="e">
        <v>#DIV/0!</v>
      </c>
      <c r="T2730">
        <v>0.91666666666666663</v>
      </c>
    </row>
    <row r="2731" spans="1:20" x14ac:dyDescent="0.3">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5483</v>
      </c>
      <c r="B2732" s="171" t="s">
        <v>5484</v>
      </c>
      <c r="C2732" s="171" t="s">
        <v>230</v>
      </c>
      <c r="D2732" s="171" t="s">
        <v>80</v>
      </c>
      <c r="E2732" s="11">
        <v>41791</v>
      </c>
    </row>
    <row r="2733" spans="1:20" x14ac:dyDescent="0.3">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x14ac:dyDescent="0.3">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5511</v>
      </c>
      <c r="B2746" s="171" t="s">
        <v>5512</v>
      </c>
      <c r="C2746" s="171" t="s">
        <v>116</v>
      </c>
      <c r="D2746" s="171" t="s">
        <v>4</v>
      </c>
      <c r="E2746" s="11">
        <v>41791</v>
      </c>
      <c r="H2746" t="e">
        <v>#DIV/0!</v>
      </c>
      <c r="K2746" t="e">
        <v>#DIV/0!</v>
      </c>
      <c r="M2746" t="e">
        <v>#DIV/0!</v>
      </c>
      <c r="R2746" t="e">
        <v>#DIV/0!</v>
      </c>
      <c r="T2746">
        <v>0.56764705882352939</v>
      </c>
    </row>
    <row r="2747" spans="1:20" x14ac:dyDescent="0.3">
      <c r="A2747" t="s">
        <v>5513</v>
      </c>
      <c r="B2747" s="171" t="s">
        <v>5514</v>
      </c>
      <c r="C2747" s="171" t="s">
        <v>119</v>
      </c>
      <c r="D2747" s="171" t="s">
        <v>4</v>
      </c>
      <c r="E2747" s="11">
        <v>41791</v>
      </c>
      <c r="H2747" t="e">
        <v>#DIV/0!</v>
      </c>
      <c r="K2747" t="e">
        <v>#DIV/0!</v>
      </c>
      <c r="M2747" t="e">
        <v>#DIV/0!</v>
      </c>
      <c r="R2747" t="e">
        <v>#DIV/0!</v>
      </c>
      <c r="T2747" t="e">
        <v>#DIV/0!</v>
      </c>
    </row>
    <row r="2748" spans="1:20" x14ac:dyDescent="0.3">
      <c r="A2748" t="s">
        <v>5515</v>
      </c>
      <c r="B2748" s="171" t="s">
        <v>5516</v>
      </c>
      <c r="C2748" s="171" t="s">
        <v>122</v>
      </c>
      <c r="D2748" s="171" t="s">
        <v>80</v>
      </c>
      <c r="E2748" s="11">
        <v>41791</v>
      </c>
      <c r="H2748" t="e">
        <v>#DIV/0!</v>
      </c>
      <c r="K2748" t="e">
        <v>#DIV/0!</v>
      </c>
      <c r="M2748" t="e">
        <v>#DIV/0!</v>
      </c>
      <c r="R2748" t="e">
        <v>#DIV/0!</v>
      </c>
      <c r="T2748" t="e">
        <v>#DIV/0!</v>
      </c>
    </row>
    <row r="2749" spans="1:20" x14ac:dyDescent="0.3">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x14ac:dyDescent="0.3">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5533</v>
      </c>
      <c r="B2757" s="171" t="s">
        <v>5534</v>
      </c>
      <c r="C2757" s="171" t="s">
        <v>179</v>
      </c>
      <c r="D2757" s="171" t="s">
        <v>80</v>
      </c>
      <c r="E2757" s="11">
        <v>41791</v>
      </c>
      <c r="H2757" t="e">
        <v>#DIV/0!</v>
      </c>
      <c r="K2757" t="e">
        <v>#DIV/0!</v>
      </c>
      <c r="M2757" t="e">
        <v>#DIV/0!</v>
      </c>
      <c r="R2757" t="e">
        <v>#DIV/0!</v>
      </c>
      <c r="T2757" t="e">
        <v>#DIV/0!</v>
      </c>
    </row>
    <row r="2758" spans="1:20" x14ac:dyDescent="0.3">
      <c r="A2758" t="s">
        <v>5535</v>
      </c>
      <c r="B2758" s="171" t="s">
        <v>5536</v>
      </c>
      <c r="C2758" s="171" t="s">
        <v>182</v>
      </c>
      <c r="D2758" s="171" t="s">
        <v>4</v>
      </c>
      <c r="E2758" s="11">
        <v>41791</v>
      </c>
      <c r="H2758" t="e">
        <v>#DIV/0!</v>
      </c>
      <c r="K2758" t="e">
        <v>#DIV/0!</v>
      </c>
      <c r="M2758" t="e">
        <v>#DIV/0!</v>
      </c>
      <c r="R2758" t="e">
        <v>#DIV/0!</v>
      </c>
      <c r="T2758" t="e">
        <v>#DIV/0!</v>
      </c>
    </row>
    <row r="2759" spans="1:20" x14ac:dyDescent="0.3">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5547</v>
      </c>
      <c r="B2764" s="171" t="s">
        <v>5548</v>
      </c>
      <c r="C2764" s="171" t="s">
        <v>209</v>
      </c>
      <c r="D2764" s="171" t="s">
        <v>4</v>
      </c>
      <c r="E2764" s="11">
        <v>41791</v>
      </c>
      <c r="H2764" t="e">
        <v>#DIV/0!</v>
      </c>
      <c r="K2764" t="e">
        <v>#DIV/0!</v>
      </c>
      <c r="M2764" t="e">
        <v>#DIV/0!</v>
      </c>
      <c r="R2764" t="e">
        <v>#DIV/0!</v>
      </c>
      <c r="T2764">
        <v>0.84799999999999998</v>
      </c>
    </row>
    <row r="2765" spans="1:20" x14ac:dyDescent="0.3">
      <c r="A2765" t="s">
        <v>5549</v>
      </c>
      <c r="B2765" s="171" t="s">
        <v>5550</v>
      </c>
      <c r="C2765" s="171" t="s">
        <v>212</v>
      </c>
      <c r="D2765" s="171" t="s">
        <v>80</v>
      </c>
      <c r="E2765" s="11">
        <v>41791</v>
      </c>
      <c r="H2765" t="e">
        <v>#DIV/0!</v>
      </c>
      <c r="K2765" t="e">
        <v>#DIV/0!</v>
      </c>
      <c r="M2765" t="e">
        <v>#DIV/0!</v>
      </c>
      <c r="R2765" t="e">
        <v>#DIV/0!</v>
      </c>
      <c r="T2765">
        <v>0.8899999999999999</v>
      </c>
    </row>
    <row r="2766" spans="1:20" x14ac:dyDescent="0.3">
      <c r="A2766" t="s">
        <v>5551</v>
      </c>
      <c r="B2766" s="171" t="s">
        <v>5552</v>
      </c>
      <c r="C2766" s="171" t="s">
        <v>215</v>
      </c>
      <c r="D2766" s="171" t="s">
        <v>80</v>
      </c>
      <c r="E2766" s="11">
        <v>41791</v>
      </c>
      <c r="H2766" t="e">
        <v>#DIV/0!</v>
      </c>
      <c r="K2766" t="e">
        <v>#DIV/0!</v>
      </c>
      <c r="M2766" t="e">
        <v>#DIV/0!</v>
      </c>
      <c r="R2766" t="e">
        <v>#DIV/0!</v>
      </c>
      <c r="T2766">
        <v>0.46625188536953238</v>
      </c>
    </row>
    <row r="2767" spans="1:20" x14ac:dyDescent="0.3">
      <c r="A2767" t="s">
        <v>5553</v>
      </c>
      <c r="B2767" s="171" t="s">
        <v>5554</v>
      </c>
      <c r="C2767" s="171" t="s">
        <v>218</v>
      </c>
      <c r="D2767" s="171" t="s">
        <v>4</v>
      </c>
      <c r="E2767" s="11">
        <v>41791</v>
      </c>
      <c r="H2767" t="e">
        <v>#DIV/0!</v>
      </c>
      <c r="K2767" t="e">
        <v>#DIV/0!</v>
      </c>
      <c r="M2767" t="e">
        <v>#DIV/0!</v>
      </c>
      <c r="R2767" t="e">
        <v>#DIV/0!</v>
      </c>
      <c r="T2767">
        <v>0.94404761904761902</v>
      </c>
    </row>
    <row r="2768" spans="1:20" x14ac:dyDescent="0.3">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5561</v>
      </c>
      <c r="B2771" s="171" t="s">
        <v>5562</v>
      </c>
      <c r="C2771" s="171" t="s">
        <v>143</v>
      </c>
      <c r="D2771" s="171" t="s">
        <v>4</v>
      </c>
      <c r="E2771" s="11">
        <v>41791</v>
      </c>
      <c r="H2771" t="e">
        <v>#DIV/0!</v>
      </c>
      <c r="K2771" t="e">
        <v>#DIV/0!</v>
      </c>
      <c r="M2771" t="e">
        <v>#DIV/0!</v>
      </c>
      <c r="N2771">
        <v>0</v>
      </c>
      <c r="R2771" t="e">
        <v>#DIV/0!</v>
      </c>
    </row>
    <row r="2772" spans="1:20" x14ac:dyDescent="0.3">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5565</v>
      </c>
      <c r="B2773" s="171" t="s">
        <v>5566</v>
      </c>
      <c r="C2773" s="171" t="s">
        <v>149</v>
      </c>
      <c r="D2773" s="171" t="s">
        <v>4</v>
      </c>
      <c r="E2773" s="11">
        <v>41791</v>
      </c>
      <c r="H2773" t="e">
        <v>#DIV/0!</v>
      </c>
      <c r="K2773" t="e">
        <v>#DIV/0!</v>
      </c>
      <c r="M2773" t="e">
        <v>#DIV/0!</v>
      </c>
      <c r="R2773" t="e">
        <v>#DIV/0!</v>
      </c>
    </row>
    <row r="2774" spans="1:20" x14ac:dyDescent="0.3">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5571</v>
      </c>
      <c r="B2776" s="171" t="s">
        <v>5572</v>
      </c>
      <c r="C2776" s="171" t="s">
        <v>158</v>
      </c>
      <c r="D2776" s="171" t="s">
        <v>4</v>
      </c>
      <c r="E2776" s="11">
        <v>41791</v>
      </c>
      <c r="H2776" t="e">
        <v>#DIV/0!</v>
      </c>
      <c r="K2776" t="e">
        <v>#DIV/0!</v>
      </c>
      <c r="M2776" t="e">
        <v>#DIV/0!</v>
      </c>
      <c r="R2776" t="e">
        <v>#DIV/0!</v>
      </c>
      <c r="T2776">
        <v>1.075</v>
      </c>
    </row>
    <row r="2777" spans="1:20" x14ac:dyDescent="0.3">
      <c r="A2777" t="s">
        <v>5573</v>
      </c>
      <c r="B2777" s="171" t="s">
        <v>5574</v>
      </c>
      <c r="C2777" s="171" t="s">
        <v>164</v>
      </c>
      <c r="D2777" s="171" t="s">
        <v>4</v>
      </c>
      <c r="E2777" s="11">
        <v>41791</v>
      </c>
      <c r="H2777" t="e">
        <v>#DIV/0!</v>
      </c>
      <c r="K2777" t="e">
        <v>#DIV/0!</v>
      </c>
      <c r="M2777" t="e">
        <v>#DIV/0!</v>
      </c>
      <c r="R2777" t="e">
        <v>#DIV/0!</v>
      </c>
      <c r="T2777">
        <v>0.875</v>
      </c>
    </row>
    <row r="2778" spans="1:20" x14ac:dyDescent="0.3">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5579</v>
      </c>
      <c r="B2780" s="171" t="s">
        <v>5580</v>
      </c>
      <c r="C2780" s="171" t="s">
        <v>224</v>
      </c>
      <c r="D2780" s="171" t="s">
        <v>4</v>
      </c>
      <c r="E2780" s="11">
        <v>41791</v>
      </c>
      <c r="H2780" t="e">
        <v>#DIV/0!</v>
      </c>
      <c r="K2780" t="e">
        <v>#DIV/0!</v>
      </c>
      <c r="M2780" t="e">
        <v>#DIV/0!</v>
      </c>
      <c r="R2780" t="e">
        <v>#DIV/0!</v>
      </c>
      <c r="T2780">
        <v>0.85699999999999998</v>
      </c>
    </row>
    <row r="2781" spans="1:20" x14ac:dyDescent="0.3">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5583</v>
      </c>
      <c r="B2782" s="171" t="s">
        <v>5584</v>
      </c>
      <c r="C2782" s="171" t="s">
        <v>230</v>
      </c>
      <c r="D2782" s="171" t="s">
        <v>4</v>
      </c>
      <c r="E2782" s="11">
        <v>41791</v>
      </c>
      <c r="T2782">
        <v>0.95</v>
      </c>
    </row>
    <row r="2783" spans="1:20" x14ac:dyDescent="0.3">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x14ac:dyDescent="0.3">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x14ac:dyDescent="0.3">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5615</v>
      </c>
      <c r="B2798" s="171" t="s">
        <v>5616</v>
      </c>
      <c r="C2798" s="171" t="s">
        <v>119</v>
      </c>
      <c r="D2798" s="171" t="s">
        <v>80</v>
      </c>
      <c r="E2798" s="11">
        <v>41821</v>
      </c>
      <c r="H2798" t="e">
        <v>#DIV/0!</v>
      </c>
      <c r="K2798" t="e">
        <v>#DIV/0!</v>
      </c>
      <c r="M2798" t="e">
        <v>#DIV/0!</v>
      </c>
      <c r="R2798" t="e">
        <v>#DIV/0!</v>
      </c>
      <c r="T2798">
        <v>0.83</v>
      </c>
    </row>
    <row r="2799" spans="1:20" x14ac:dyDescent="0.3">
      <c r="A2799" t="s">
        <v>5617</v>
      </c>
      <c r="B2799" s="171" t="s">
        <v>5618</v>
      </c>
      <c r="C2799" s="171" t="s">
        <v>122</v>
      </c>
      <c r="D2799" s="171" t="s">
        <v>4</v>
      </c>
      <c r="E2799" s="11">
        <v>41821</v>
      </c>
      <c r="H2799" t="e">
        <v>#DIV/0!</v>
      </c>
      <c r="K2799" t="e">
        <v>#DIV/0!</v>
      </c>
      <c r="M2799" t="e">
        <v>#DIV/0!</v>
      </c>
      <c r="R2799" t="e">
        <v>#DIV/0!</v>
      </c>
      <c r="T2799">
        <v>0.75</v>
      </c>
    </row>
    <row r="2800" spans="1:20" x14ac:dyDescent="0.3">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x14ac:dyDescent="0.3">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x14ac:dyDescent="0.3">
      <c r="A2806" t="s">
        <v>5631</v>
      </c>
      <c r="B2806" s="171" t="s">
        <v>5632</v>
      </c>
      <c r="C2806" s="171" t="s">
        <v>143</v>
      </c>
      <c r="D2806" s="171" t="s">
        <v>80</v>
      </c>
      <c r="E2806" s="11">
        <v>41821</v>
      </c>
      <c r="H2806" t="e">
        <v>#DIV/0!</v>
      </c>
      <c r="K2806" t="e">
        <v>#DIV/0!</v>
      </c>
      <c r="M2806" t="e">
        <v>#DIV/0!</v>
      </c>
      <c r="N2806">
        <v>0</v>
      </c>
      <c r="R2806" t="e">
        <v>#DIV/0!</v>
      </c>
      <c r="T2806" t="e">
        <v>#DIV/0!</v>
      </c>
    </row>
    <row r="2807" spans="1:20" x14ac:dyDescent="0.3">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5635</v>
      </c>
      <c r="B2808" s="171" t="s">
        <v>5636</v>
      </c>
      <c r="C2808" s="171" t="s">
        <v>149</v>
      </c>
      <c r="D2808" s="171" t="s">
        <v>80</v>
      </c>
      <c r="E2808" s="11">
        <v>41821</v>
      </c>
      <c r="H2808" t="e">
        <v>#DIV/0!</v>
      </c>
      <c r="K2808" t="e">
        <v>#DIV/0!</v>
      </c>
      <c r="M2808" t="e">
        <v>#DIV/0!</v>
      </c>
      <c r="R2808" t="e">
        <v>#DIV/0!</v>
      </c>
      <c r="T2808">
        <v>1.0375000000000001</v>
      </c>
    </row>
    <row r="2809" spans="1:20" x14ac:dyDescent="0.3">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5641</v>
      </c>
      <c r="B2811" s="171" t="s">
        <v>5642</v>
      </c>
      <c r="C2811" s="171" t="s">
        <v>158</v>
      </c>
      <c r="D2811" s="171" t="s">
        <v>80</v>
      </c>
      <c r="E2811" s="11">
        <v>41821</v>
      </c>
      <c r="H2811" t="e">
        <v>#DIV/0!</v>
      </c>
      <c r="K2811" t="e">
        <v>#DIV/0!</v>
      </c>
      <c r="M2811" t="e">
        <v>#DIV/0!</v>
      </c>
      <c r="R2811" t="e">
        <v>#DIV/0!</v>
      </c>
      <c r="T2811">
        <v>0.76190476190476186</v>
      </c>
    </row>
    <row r="2812" spans="1:20" x14ac:dyDescent="0.3">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5645</v>
      </c>
      <c r="B2813" s="171" t="s">
        <v>5646</v>
      </c>
      <c r="C2813" s="171" t="s">
        <v>164</v>
      </c>
      <c r="D2813" s="171" t="s">
        <v>80</v>
      </c>
      <c r="E2813" s="11">
        <v>41821</v>
      </c>
      <c r="H2813" t="e">
        <v>#DIV/0!</v>
      </c>
      <c r="K2813" t="e">
        <v>#DIV/0!</v>
      </c>
      <c r="M2813" t="e">
        <v>#DIV/0!</v>
      </c>
      <c r="R2813" t="e">
        <v>#DIV/0!</v>
      </c>
      <c r="T2813" t="e">
        <v>#DIV/0!</v>
      </c>
    </row>
    <row r="2814" spans="1:20" x14ac:dyDescent="0.3">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5655</v>
      </c>
      <c r="B2818" s="171" t="s">
        <v>5656</v>
      </c>
      <c r="C2818" s="171" t="s">
        <v>179</v>
      </c>
      <c r="D2818" s="171" t="s">
        <v>4</v>
      </c>
      <c r="E2818" s="11">
        <v>41821</v>
      </c>
      <c r="H2818" t="e">
        <v>#DIV/0!</v>
      </c>
      <c r="K2818" t="e">
        <v>#DIV/0!</v>
      </c>
      <c r="M2818" t="e">
        <v>#DIV/0!</v>
      </c>
      <c r="R2818" t="e">
        <v>#DIV/0!</v>
      </c>
    </row>
    <row r="2819" spans="1:20" x14ac:dyDescent="0.3">
      <c r="A2819" t="s">
        <v>5657</v>
      </c>
      <c r="B2819" s="171" t="s">
        <v>5658</v>
      </c>
      <c r="C2819" s="171" t="s">
        <v>182</v>
      </c>
      <c r="D2819" s="171" t="s">
        <v>80</v>
      </c>
      <c r="E2819" s="11">
        <v>41821</v>
      </c>
      <c r="H2819" t="e">
        <v>#DIV/0!</v>
      </c>
      <c r="K2819" t="e">
        <v>#DIV/0!</v>
      </c>
      <c r="M2819" t="e">
        <v>#DIV/0!</v>
      </c>
      <c r="R2819" t="e">
        <v>#DIV/0!</v>
      </c>
      <c r="T2819">
        <v>0.77500000000000002</v>
      </c>
    </row>
    <row r="2820" spans="1:20" x14ac:dyDescent="0.3">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5671</v>
      </c>
      <c r="B2826" s="171" t="s">
        <v>5672</v>
      </c>
      <c r="C2826" s="171" t="s">
        <v>203</v>
      </c>
      <c r="D2826" s="171" t="s">
        <v>80</v>
      </c>
      <c r="E2826" s="11">
        <v>41821</v>
      </c>
      <c r="F2826">
        <v>6</v>
      </c>
      <c r="G2826">
        <v>6</v>
      </c>
      <c r="H2826">
        <v>1</v>
      </c>
      <c r="J2826">
        <v>27</v>
      </c>
      <c r="K2826">
        <v>0</v>
      </c>
      <c r="L2826">
        <v>27</v>
      </c>
      <c r="M2826">
        <v>1</v>
      </c>
      <c r="R2826" t="e">
        <v>#DIV/0!</v>
      </c>
    </row>
    <row r="2827" spans="1:20" x14ac:dyDescent="0.3">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5675</v>
      </c>
      <c r="B2828" s="171" t="s">
        <v>5676</v>
      </c>
      <c r="C2828" s="171" t="s">
        <v>209</v>
      </c>
      <c r="D2828" s="171" t="s">
        <v>80</v>
      </c>
      <c r="E2828" s="11">
        <v>41821</v>
      </c>
      <c r="H2828" t="e">
        <v>#DIV/0!</v>
      </c>
      <c r="K2828" t="e">
        <v>#DIV/0!</v>
      </c>
      <c r="M2828" t="e">
        <v>#DIV/0!</v>
      </c>
      <c r="R2828" t="e">
        <v>#DIV/0!</v>
      </c>
    </row>
    <row r="2829" spans="1:20" x14ac:dyDescent="0.3">
      <c r="A2829" t="s">
        <v>5677</v>
      </c>
      <c r="B2829" s="171" t="s">
        <v>5678</v>
      </c>
      <c r="C2829" s="171" t="s">
        <v>212</v>
      </c>
      <c r="D2829" s="171" t="s">
        <v>4</v>
      </c>
      <c r="E2829" s="11">
        <v>41821</v>
      </c>
      <c r="H2829" t="e">
        <v>#DIV/0!</v>
      </c>
      <c r="K2829" t="e">
        <v>#DIV/0!</v>
      </c>
      <c r="M2829" t="e">
        <v>#DIV/0!</v>
      </c>
      <c r="R2829" t="e">
        <v>#DIV/0!</v>
      </c>
    </row>
    <row r="2830" spans="1:20" x14ac:dyDescent="0.3">
      <c r="A2830" t="s">
        <v>5679</v>
      </c>
      <c r="B2830" s="171" t="s">
        <v>5680</v>
      </c>
      <c r="C2830" s="171" t="s">
        <v>215</v>
      </c>
      <c r="D2830" s="171" t="s">
        <v>4</v>
      </c>
      <c r="E2830" s="11">
        <v>41821</v>
      </c>
      <c r="H2830" t="e">
        <v>#DIV/0!</v>
      </c>
      <c r="K2830" t="e">
        <v>#DIV/0!</v>
      </c>
      <c r="M2830" t="e">
        <v>#DIV/0!</v>
      </c>
      <c r="R2830" t="e">
        <v>#DIV/0!</v>
      </c>
    </row>
    <row r="2831" spans="1:20" x14ac:dyDescent="0.3">
      <c r="A2831" t="s">
        <v>5681</v>
      </c>
      <c r="B2831" s="171" t="s">
        <v>5682</v>
      </c>
      <c r="C2831" s="171" t="s">
        <v>218</v>
      </c>
      <c r="D2831" s="171" t="s">
        <v>80</v>
      </c>
      <c r="E2831" s="11">
        <v>41821</v>
      </c>
      <c r="H2831" t="e">
        <v>#DIV/0!</v>
      </c>
      <c r="K2831" t="e">
        <v>#DIV/0!</v>
      </c>
      <c r="M2831" t="e">
        <v>#DIV/0!</v>
      </c>
      <c r="R2831" t="e">
        <v>#DIV/0!</v>
      </c>
    </row>
    <row r="2832" spans="1:20" x14ac:dyDescent="0.3">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5685</v>
      </c>
      <c r="B2833" s="171" t="s">
        <v>5686</v>
      </c>
      <c r="C2833" s="171" t="s">
        <v>224</v>
      </c>
      <c r="D2833" s="171" t="s">
        <v>80</v>
      </c>
      <c r="E2833" s="11">
        <v>41821</v>
      </c>
      <c r="H2833" t="e">
        <v>#DIV/0!</v>
      </c>
      <c r="K2833" t="e">
        <v>#DIV/0!</v>
      </c>
      <c r="M2833" t="e">
        <v>#DIV/0!</v>
      </c>
      <c r="R2833" t="e">
        <v>#DIV/0!</v>
      </c>
      <c r="T2833">
        <v>0.55000000000000004</v>
      </c>
    </row>
    <row r="2834" spans="1:20" x14ac:dyDescent="0.3">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5689</v>
      </c>
      <c r="B2835" s="171" t="s">
        <v>5690</v>
      </c>
      <c r="C2835" s="171" t="s">
        <v>230</v>
      </c>
      <c r="D2835" s="171" t="s">
        <v>80</v>
      </c>
      <c r="E2835" s="11">
        <v>41821</v>
      </c>
      <c r="T2835">
        <v>1</v>
      </c>
    </row>
    <row r="2836" spans="1:20" x14ac:dyDescent="0.3">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x14ac:dyDescent="0.3">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5719</v>
      </c>
      <c r="B2850" s="171" t="s">
        <v>5720</v>
      </c>
      <c r="C2850" s="171" t="s">
        <v>119</v>
      </c>
      <c r="D2850" s="171" t="s">
        <v>4</v>
      </c>
      <c r="E2850" s="11">
        <v>41821</v>
      </c>
      <c r="H2850" t="e">
        <v>#DIV/0!</v>
      </c>
      <c r="K2850" t="e">
        <v>#DIV/0!</v>
      </c>
      <c r="M2850" t="e">
        <v>#DIV/0!</v>
      </c>
      <c r="R2850" t="e">
        <v>#DIV/0!</v>
      </c>
      <c r="T2850">
        <v>0.89743589743589747</v>
      </c>
    </row>
    <row r="2851" spans="1:20" x14ac:dyDescent="0.3">
      <c r="A2851" t="s">
        <v>5721</v>
      </c>
      <c r="B2851" s="171" t="s">
        <v>5722</v>
      </c>
      <c r="C2851" s="171" t="s">
        <v>122</v>
      </c>
      <c r="D2851" s="171" t="s">
        <v>80</v>
      </c>
      <c r="E2851" s="11">
        <v>41821</v>
      </c>
      <c r="H2851" t="e">
        <v>#DIV/0!</v>
      </c>
      <c r="K2851" t="e">
        <v>#DIV/0!</v>
      </c>
      <c r="M2851" t="e">
        <v>#DIV/0!</v>
      </c>
      <c r="R2851" t="e">
        <v>#DIV/0!</v>
      </c>
    </row>
    <row r="2852" spans="1:20" x14ac:dyDescent="0.3">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x14ac:dyDescent="0.3">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x14ac:dyDescent="0.3">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x14ac:dyDescent="0.3">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5739</v>
      </c>
      <c r="B2860" s="171" t="s">
        <v>5740</v>
      </c>
      <c r="C2860" s="171" t="s">
        <v>179</v>
      </c>
      <c r="D2860" s="171" t="s">
        <v>80</v>
      </c>
      <c r="E2860" s="11">
        <v>41821</v>
      </c>
      <c r="H2860" t="e">
        <v>#DIV/0!</v>
      </c>
      <c r="K2860" t="e">
        <v>#DIV/0!</v>
      </c>
      <c r="M2860" t="e">
        <v>#DIV/0!</v>
      </c>
      <c r="R2860" t="e">
        <v>#DIV/0!</v>
      </c>
    </row>
    <row r="2861" spans="1:20" x14ac:dyDescent="0.3">
      <c r="A2861" t="s">
        <v>5741</v>
      </c>
      <c r="B2861" s="171" t="s">
        <v>5742</v>
      </c>
      <c r="C2861" s="171" t="s">
        <v>182</v>
      </c>
      <c r="D2861" s="171" t="s">
        <v>4</v>
      </c>
      <c r="E2861" s="11">
        <v>41821</v>
      </c>
      <c r="H2861" t="e">
        <v>#DIV/0!</v>
      </c>
      <c r="K2861" t="e">
        <v>#DIV/0!</v>
      </c>
      <c r="M2861" t="e">
        <v>#DIV/0!</v>
      </c>
      <c r="R2861" t="e">
        <v>#DIV/0!</v>
      </c>
    </row>
    <row r="2862" spans="1:20" x14ac:dyDescent="0.3">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5753</v>
      </c>
      <c r="B2867" s="171" t="s">
        <v>5754</v>
      </c>
      <c r="C2867" s="171" t="s">
        <v>209</v>
      </c>
      <c r="D2867" s="171" t="s">
        <v>4</v>
      </c>
      <c r="E2867" s="11">
        <v>41821</v>
      </c>
      <c r="H2867" t="e">
        <v>#DIV/0!</v>
      </c>
      <c r="K2867" t="e">
        <v>#DIV/0!</v>
      </c>
      <c r="M2867" t="e">
        <v>#DIV/0!</v>
      </c>
      <c r="R2867" t="e">
        <v>#DIV/0!</v>
      </c>
      <c r="T2867" t="e">
        <v>#DIV/0!</v>
      </c>
    </row>
    <row r="2868" spans="1:20" x14ac:dyDescent="0.3">
      <c r="A2868" t="s">
        <v>5755</v>
      </c>
      <c r="B2868" s="171" t="s">
        <v>5756</v>
      </c>
      <c r="C2868" s="171" t="s">
        <v>212</v>
      </c>
      <c r="D2868" s="171" t="s">
        <v>80</v>
      </c>
      <c r="E2868" s="11">
        <v>41821</v>
      </c>
      <c r="H2868" t="e">
        <v>#DIV/0!</v>
      </c>
      <c r="K2868" t="e">
        <v>#DIV/0!</v>
      </c>
      <c r="M2868" t="e">
        <v>#DIV/0!</v>
      </c>
      <c r="R2868" t="e">
        <v>#DIV/0!</v>
      </c>
      <c r="T2868" t="e">
        <v>#DIV/0!</v>
      </c>
    </row>
    <row r="2869" spans="1:20" x14ac:dyDescent="0.3">
      <c r="A2869" t="s">
        <v>5757</v>
      </c>
      <c r="B2869" s="171" t="s">
        <v>5758</v>
      </c>
      <c r="C2869" s="171" t="s">
        <v>215</v>
      </c>
      <c r="D2869" s="171" t="s">
        <v>80</v>
      </c>
      <c r="E2869" s="11">
        <v>41821</v>
      </c>
      <c r="H2869" t="e">
        <v>#DIV/0!</v>
      </c>
      <c r="K2869" t="e">
        <v>#DIV/0!</v>
      </c>
      <c r="M2869" t="e">
        <v>#DIV/0!</v>
      </c>
      <c r="R2869" t="e">
        <v>#DIV/0!</v>
      </c>
      <c r="T2869">
        <v>0.59375</v>
      </c>
    </row>
    <row r="2870" spans="1:20" x14ac:dyDescent="0.3">
      <c r="A2870" t="s">
        <v>5759</v>
      </c>
      <c r="B2870" s="171" t="s">
        <v>5760</v>
      </c>
      <c r="C2870" s="171" t="s">
        <v>218</v>
      </c>
      <c r="D2870" s="171" t="s">
        <v>4</v>
      </c>
      <c r="E2870" s="11">
        <v>41821</v>
      </c>
      <c r="H2870" t="e">
        <v>#DIV/0!</v>
      </c>
      <c r="K2870" t="e">
        <v>#DIV/0!</v>
      </c>
      <c r="M2870" t="e">
        <v>#DIV/0!</v>
      </c>
      <c r="R2870" t="e">
        <v>#DIV/0!</v>
      </c>
      <c r="T2870" t="e">
        <v>#DIV/0!</v>
      </c>
    </row>
    <row r="2871" spans="1:20" x14ac:dyDescent="0.3">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5767</v>
      </c>
      <c r="B2874" s="171" t="s">
        <v>5768</v>
      </c>
      <c r="C2874" s="171" t="s">
        <v>143</v>
      </c>
      <c r="D2874" s="171" t="s">
        <v>4</v>
      </c>
      <c r="E2874" s="11">
        <v>41821</v>
      </c>
      <c r="H2874" t="e">
        <v>#DIV/0!</v>
      </c>
      <c r="K2874" t="e">
        <v>#DIV/0!</v>
      </c>
      <c r="M2874" t="e">
        <v>#DIV/0!</v>
      </c>
      <c r="N2874">
        <v>0</v>
      </c>
      <c r="R2874" t="e">
        <v>#DIV/0!</v>
      </c>
      <c r="T2874">
        <v>0.58333333333333337</v>
      </c>
    </row>
    <row r="2875" spans="1:20" x14ac:dyDescent="0.3">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5771</v>
      </c>
      <c r="B2876" s="171" t="s">
        <v>5772</v>
      </c>
      <c r="C2876" s="171" t="s">
        <v>149</v>
      </c>
      <c r="D2876" s="171" t="s">
        <v>4</v>
      </c>
      <c r="E2876" s="11">
        <v>41821</v>
      </c>
      <c r="H2876" t="e">
        <v>#DIV/0!</v>
      </c>
      <c r="K2876" t="e">
        <v>#DIV/0!</v>
      </c>
      <c r="M2876" t="e">
        <v>#DIV/0!</v>
      </c>
      <c r="R2876" t="e">
        <v>#DIV/0!</v>
      </c>
      <c r="T2876">
        <v>0.75</v>
      </c>
    </row>
    <row r="2877" spans="1:20" x14ac:dyDescent="0.3">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5777</v>
      </c>
      <c r="B2879" s="171" t="s">
        <v>5778</v>
      </c>
      <c r="C2879" s="171" t="s">
        <v>158</v>
      </c>
      <c r="D2879" s="171" t="s">
        <v>4</v>
      </c>
      <c r="E2879" s="11">
        <v>41821</v>
      </c>
      <c r="H2879" t="e">
        <v>#DIV/0!</v>
      </c>
      <c r="K2879" t="e">
        <v>#DIV/0!</v>
      </c>
      <c r="M2879" t="e">
        <v>#DIV/0!</v>
      </c>
      <c r="R2879" t="e">
        <v>#DIV/0!</v>
      </c>
      <c r="T2879" t="e">
        <v>#DIV/0!</v>
      </c>
    </row>
    <row r="2880" spans="1:20" x14ac:dyDescent="0.3">
      <c r="A2880" t="s">
        <v>5779</v>
      </c>
      <c r="B2880" s="171" t="s">
        <v>5780</v>
      </c>
      <c r="C2880" s="171" t="s">
        <v>164</v>
      </c>
      <c r="D2880" s="171" t="s">
        <v>4</v>
      </c>
      <c r="E2880" s="11">
        <v>41821</v>
      </c>
      <c r="H2880" t="e">
        <v>#DIV/0!</v>
      </c>
      <c r="K2880" t="e">
        <v>#DIV/0!</v>
      </c>
      <c r="M2880" t="e">
        <v>#DIV/0!</v>
      </c>
      <c r="R2880" t="e">
        <v>#DIV/0!</v>
      </c>
      <c r="T2880" t="e">
        <v>#DIV/0!</v>
      </c>
    </row>
    <row r="2881" spans="1:20" x14ac:dyDescent="0.3">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5785</v>
      </c>
      <c r="B2883" s="171" t="s">
        <v>5786</v>
      </c>
      <c r="C2883" s="171" t="s">
        <v>224</v>
      </c>
      <c r="D2883" s="171" t="s">
        <v>4</v>
      </c>
      <c r="E2883" s="11">
        <v>41821</v>
      </c>
      <c r="H2883" t="e">
        <v>#DIV/0!</v>
      </c>
      <c r="K2883" t="e">
        <v>#DIV/0!</v>
      </c>
      <c r="M2883" t="e">
        <v>#DIV/0!</v>
      </c>
      <c r="R2883" t="e">
        <v>#DIV/0!</v>
      </c>
      <c r="T2883">
        <v>0.77500000000000002</v>
      </c>
    </row>
    <row r="2884" spans="1:20" x14ac:dyDescent="0.3">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5789</v>
      </c>
      <c r="B2885" s="171" t="s">
        <v>5790</v>
      </c>
      <c r="C2885" s="171" t="s">
        <v>230</v>
      </c>
      <c r="D2885" s="171" t="s">
        <v>4</v>
      </c>
      <c r="E2885" s="11">
        <v>41821</v>
      </c>
      <c r="T2885">
        <v>0.7228</v>
      </c>
    </row>
    <row r="2886" spans="1:20" x14ac:dyDescent="0.3">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x14ac:dyDescent="0.3">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5821</v>
      </c>
      <c r="B2901" s="171" t="s">
        <v>5822</v>
      </c>
      <c r="C2901" s="171" t="s">
        <v>119</v>
      </c>
      <c r="D2901" s="171" t="s">
        <v>80</v>
      </c>
      <c r="E2901" s="11">
        <v>41852</v>
      </c>
      <c r="H2901" t="e">
        <v>#DIV/0!</v>
      </c>
      <c r="K2901" t="e">
        <v>#DIV/0!</v>
      </c>
      <c r="M2901" t="e">
        <v>#DIV/0!</v>
      </c>
      <c r="R2901" t="e">
        <v>#DIV/0!</v>
      </c>
      <c r="T2901">
        <v>0.62427272727272731</v>
      </c>
    </row>
    <row r="2902" spans="1:20" x14ac:dyDescent="0.3">
      <c r="A2902" t="s">
        <v>5823</v>
      </c>
      <c r="B2902" s="171" t="s">
        <v>5824</v>
      </c>
      <c r="C2902" s="171" t="s">
        <v>122</v>
      </c>
      <c r="D2902" s="171" t="s">
        <v>4</v>
      </c>
      <c r="E2902" s="11">
        <v>41852</v>
      </c>
      <c r="H2902" t="e">
        <v>#DIV/0!</v>
      </c>
      <c r="K2902" t="e">
        <v>#DIV/0!</v>
      </c>
      <c r="M2902" t="e">
        <v>#DIV/0!</v>
      </c>
      <c r="R2902" t="e">
        <v>#DIV/0!</v>
      </c>
      <c r="T2902">
        <v>0.80700000000000005</v>
      </c>
    </row>
    <row r="2903" spans="1:20" x14ac:dyDescent="0.3">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5837</v>
      </c>
      <c r="B2909" s="171" t="s">
        <v>5838</v>
      </c>
      <c r="C2909" s="171" t="s">
        <v>143</v>
      </c>
      <c r="D2909" s="171" t="s">
        <v>80</v>
      </c>
      <c r="E2909" s="11">
        <v>41852</v>
      </c>
      <c r="H2909" t="e">
        <v>#DIV/0!</v>
      </c>
      <c r="I2909">
        <v>12</v>
      </c>
      <c r="K2909" t="e">
        <v>#DIV/0!</v>
      </c>
      <c r="M2909" t="e">
        <v>#DIV/0!</v>
      </c>
      <c r="N2909">
        <v>12</v>
      </c>
      <c r="R2909" t="e">
        <v>#DIV/0!</v>
      </c>
    </row>
    <row r="2910" spans="1:20" x14ac:dyDescent="0.3">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5841</v>
      </c>
      <c r="B2911" s="171" t="s">
        <v>5842</v>
      </c>
      <c r="C2911" s="171" t="s">
        <v>149</v>
      </c>
      <c r="D2911" s="171" t="s">
        <v>80</v>
      </c>
      <c r="E2911" s="11">
        <v>41852</v>
      </c>
      <c r="H2911" t="e">
        <v>#DIV/0!</v>
      </c>
      <c r="K2911" t="e">
        <v>#DIV/0!</v>
      </c>
      <c r="M2911" t="e">
        <v>#DIV/0!</v>
      </c>
      <c r="R2911" t="e">
        <v>#DIV/0!</v>
      </c>
    </row>
    <row r="2912" spans="1:20" x14ac:dyDescent="0.3">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x14ac:dyDescent="0.3">
      <c r="A2914" t="s">
        <v>5847</v>
      </c>
      <c r="B2914" s="171" t="s">
        <v>5848</v>
      </c>
      <c r="C2914" s="171" t="s">
        <v>158</v>
      </c>
      <c r="D2914" s="171" t="s">
        <v>80</v>
      </c>
      <c r="E2914" s="11">
        <v>41852</v>
      </c>
      <c r="H2914" t="e">
        <v>#DIV/0!</v>
      </c>
      <c r="K2914" t="e">
        <v>#DIV/0!</v>
      </c>
      <c r="M2914" t="e">
        <v>#DIV/0!</v>
      </c>
      <c r="R2914" t="e">
        <v>#DIV/0!</v>
      </c>
      <c r="T2914">
        <v>0.75510204081632648</v>
      </c>
    </row>
    <row r="2915" spans="1:20" x14ac:dyDescent="0.3">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5851</v>
      </c>
      <c r="B2916" s="171" t="s">
        <v>5852</v>
      </c>
      <c r="C2916" s="171" t="s">
        <v>164</v>
      </c>
      <c r="D2916" s="171" t="s">
        <v>80</v>
      </c>
      <c r="E2916" s="11">
        <v>41852</v>
      </c>
      <c r="H2916" t="e">
        <v>#DIV/0!</v>
      </c>
      <c r="K2916" t="e">
        <v>#DIV/0!</v>
      </c>
      <c r="M2916" t="e">
        <v>#DIV/0!</v>
      </c>
      <c r="R2916" t="e">
        <v>#DIV/0!</v>
      </c>
    </row>
    <row r="2917" spans="1:20" x14ac:dyDescent="0.3">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x14ac:dyDescent="0.3">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x14ac:dyDescent="0.3">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x14ac:dyDescent="0.3">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x14ac:dyDescent="0.3">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x14ac:dyDescent="0.3">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x14ac:dyDescent="0.3">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x14ac:dyDescent="0.3">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5881</v>
      </c>
      <c r="B2931" s="171" t="s">
        <v>5882</v>
      </c>
      <c r="C2931" s="171" t="s">
        <v>209</v>
      </c>
      <c r="D2931" s="171" t="s">
        <v>80</v>
      </c>
      <c r="E2931" s="11">
        <v>41852</v>
      </c>
      <c r="H2931" t="e">
        <v>#DIV/0!</v>
      </c>
      <c r="K2931" t="e">
        <v>#DIV/0!</v>
      </c>
      <c r="M2931" t="e">
        <v>#DIV/0!</v>
      </c>
      <c r="R2931" t="e">
        <v>#DIV/0!</v>
      </c>
      <c r="T2931" t="e">
        <v>#DIV/0!</v>
      </c>
    </row>
    <row r="2932" spans="1:20" x14ac:dyDescent="0.3">
      <c r="A2932" t="s">
        <v>5883</v>
      </c>
      <c r="B2932" s="171" t="s">
        <v>5884</v>
      </c>
      <c r="C2932" s="171" t="s">
        <v>212</v>
      </c>
      <c r="D2932" s="171" t="s">
        <v>4</v>
      </c>
      <c r="E2932" s="11">
        <v>41852</v>
      </c>
      <c r="H2932" t="e">
        <v>#DIV/0!</v>
      </c>
      <c r="K2932" t="e">
        <v>#DIV/0!</v>
      </c>
      <c r="M2932" t="e">
        <v>#DIV/0!</v>
      </c>
      <c r="R2932" t="e">
        <v>#DIV/0!</v>
      </c>
      <c r="T2932" t="e">
        <v>#DIV/0!</v>
      </c>
    </row>
    <row r="2933" spans="1:20" x14ac:dyDescent="0.3">
      <c r="A2933" t="s">
        <v>5885</v>
      </c>
      <c r="B2933" s="171" t="s">
        <v>5886</v>
      </c>
      <c r="C2933" s="171" t="s">
        <v>215</v>
      </c>
      <c r="D2933" s="171" t="s">
        <v>4</v>
      </c>
      <c r="E2933" s="11">
        <v>41852</v>
      </c>
      <c r="T2933">
        <v>0.62083333333333335</v>
      </c>
    </row>
    <row r="2934" spans="1:20" x14ac:dyDescent="0.3">
      <c r="A2934" t="s">
        <v>5887</v>
      </c>
      <c r="B2934" s="171" t="s">
        <v>5888</v>
      </c>
      <c r="C2934" s="171" t="s">
        <v>218</v>
      </c>
      <c r="D2934" s="171" t="s">
        <v>80</v>
      </c>
      <c r="E2934" s="11">
        <v>41852</v>
      </c>
      <c r="T2934" t="e">
        <v>#DIV/0!</v>
      </c>
    </row>
    <row r="2935" spans="1:20" x14ac:dyDescent="0.3">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5891</v>
      </c>
      <c r="B2936" s="171" t="s">
        <v>5892</v>
      </c>
      <c r="C2936" s="171" t="s">
        <v>224</v>
      </c>
      <c r="D2936" s="171" t="s">
        <v>80</v>
      </c>
      <c r="E2936" s="11">
        <v>41852</v>
      </c>
      <c r="H2936" t="e">
        <v>#DIV/0!</v>
      </c>
      <c r="K2936" t="e">
        <v>#DIV/0!</v>
      </c>
      <c r="M2936" t="e">
        <v>#DIV/0!</v>
      </c>
      <c r="R2936" t="e">
        <v>#DIV/0!</v>
      </c>
      <c r="T2936">
        <v>0.83</v>
      </c>
    </row>
    <row r="2937" spans="1:20" x14ac:dyDescent="0.3">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x14ac:dyDescent="0.3">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5925</v>
      </c>
      <c r="B2953" s="171" t="s">
        <v>5926</v>
      </c>
      <c r="C2953" s="171" t="s">
        <v>119</v>
      </c>
      <c r="D2953" s="171" t="s">
        <v>4</v>
      </c>
      <c r="E2953" s="11">
        <v>41852</v>
      </c>
      <c r="H2953" t="e">
        <v>#DIV/0!</v>
      </c>
      <c r="K2953" t="e">
        <v>#DIV/0!</v>
      </c>
      <c r="M2953" t="e">
        <v>#DIV/0!</v>
      </c>
      <c r="R2953" t="e">
        <v>#DIV/0!</v>
      </c>
      <c r="T2953">
        <v>0.58763505402160865</v>
      </c>
    </row>
    <row r="2954" spans="1:20" x14ac:dyDescent="0.3">
      <c r="A2954" t="s">
        <v>5927</v>
      </c>
      <c r="B2954" s="171" t="s">
        <v>5928</v>
      </c>
      <c r="C2954" s="171" t="s">
        <v>122</v>
      </c>
      <c r="D2954" s="171" t="s">
        <v>80</v>
      </c>
      <c r="E2954" s="11">
        <v>41852</v>
      </c>
      <c r="H2954" t="e">
        <v>#DIV/0!</v>
      </c>
      <c r="K2954" t="e">
        <v>#DIV/0!</v>
      </c>
      <c r="M2954" t="e">
        <v>#DIV/0!</v>
      </c>
      <c r="R2954" t="e">
        <v>#DIV/0!</v>
      </c>
    </row>
    <row r="2955" spans="1:20" x14ac:dyDescent="0.3">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x14ac:dyDescent="0.3">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5959</v>
      </c>
      <c r="B2970" s="171" t="s">
        <v>5960</v>
      </c>
      <c r="C2970" s="171" t="s">
        <v>209</v>
      </c>
      <c r="D2970" s="171" t="s">
        <v>4</v>
      </c>
      <c r="E2970" s="11">
        <v>41852</v>
      </c>
      <c r="H2970" t="e">
        <v>#DIV/0!</v>
      </c>
      <c r="K2970" t="e">
        <v>#DIV/0!</v>
      </c>
      <c r="M2970" t="e">
        <v>#DIV/0!</v>
      </c>
      <c r="R2970" t="e">
        <v>#DIV/0!</v>
      </c>
      <c r="T2970">
        <v>0.33333333333333331</v>
      </c>
    </row>
    <row r="2971" spans="1:20" x14ac:dyDescent="0.3">
      <c r="A2971" t="s">
        <v>5961</v>
      </c>
      <c r="B2971" s="171" t="s">
        <v>5962</v>
      </c>
      <c r="C2971" s="171" t="s">
        <v>212</v>
      </c>
      <c r="D2971" s="171" t="s">
        <v>80</v>
      </c>
      <c r="E2971" s="11">
        <v>41852</v>
      </c>
      <c r="H2971" t="e">
        <v>#DIV/0!</v>
      </c>
      <c r="K2971" t="e">
        <v>#DIV/0!</v>
      </c>
      <c r="M2971" t="e">
        <v>#DIV/0!</v>
      </c>
      <c r="R2971" t="e">
        <v>#DIV/0!</v>
      </c>
      <c r="T2971">
        <v>0.2</v>
      </c>
    </row>
    <row r="2972" spans="1:20" x14ac:dyDescent="0.3">
      <c r="A2972" t="s">
        <v>5963</v>
      </c>
      <c r="B2972" s="171" t="s">
        <v>5964</v>
      </c>
      <c r="C2972" s="171" t="s">
        <v>215</v>
      </c>
      <c r="D2972" s="171" t="s">
        <v>80</v>
      </c>
      <c r="E2972" s="11">
        <v>41852</v>
      </c>
      <c r="T2972">
        <v>0.66666666666666663</v>
      </c>
    </row>
    <row r="2973" spans="1:20" x14ac:dyDescent="0.3">
      <c r="A2973" t="s">
        <v>5965</v>
      </c>
      <c r="B2973" s="171" t="s">
        <v>5966</v>
      </c>
      <c r="C2973" s="171" t="s">
        <v>218</v>
      </c>
      <c r="D2973" s="171" t="s">
        <v>4</v>
      </c>
      <c r="E2973" s="11">
        <v>41852</v>
      </c>
    </row>
    <row r="2974" spans="1:20" x14ac:dyDescent="0.3">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5973</v>
      </c>
      <c r="B2977" s="171" t="s">
        <v>5974</v>
      </c>
      <c r="C2977" s="171" t="s">
        <v>143</v>
      </c>
      <c r="D2977" s="171" t="s">
        <v>4</v>
      </c>
      <c r="E2977" s="11">
        <v>41852</v>
      </c>
      <c r="H2977" t="e">
        <v>#DIV/0!</v>
      </c>
      <c r="I2977">
        <v>12</v>
      </c>
      <c r="K2977" t="e">
        <v>#DIV/0!</v>
      </c>
      <c r="M2977" t="e">
        <v>#DIV/0!</v>
      </c>
      <c r="N2977">
        <v>12</v>
      </c>
      <c r="R2977" t="e">
        <v>#DIV/0!</v>
      </c>
      <c r="T2977">
        <v>0.8</v>
      </c>
    </row>
    <row r="2978" spans="1:20" x14ac:dyDescent="0.3">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5977</v>
      </c>
      <c r="B2979" s="171" t="s">
        <v>5978</v>
      </c>
      <c r="C2979" s="171" t="s">
        <v>149</v>
      </c>
      <c r="D2979" s="171" t="s">
        <v>4</v>
      </c>
      <c r="E2979" s="11">
        <v>41852</v>
      </c>
      <c r="H2979" t="e">
        <v>#DIV/0!</v>
      </c>
      <c r="K2979" t="e">
        <v>#DIV/0!</v>
      </c>
      <c r="M2979" t="e">
        <v>#DIV/0!</v>
      </c>
      <c r="R2979" t="e">
        <v>#DIV/0!</v>
      </c>
      <c r="T2979">
        <v>0.28313253012048195</v>
      </c>
    </row>
    <row r="2980" spans="1:20" x14ac:dyDescent="0.3">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x14ac:dyDescent="0.3">
      <c r="A2982" t="s">
        <v>5983</v>
      </c>
      <c r="B2982" s="171" t="s">
        <v>5984</v>
      </c>
      <c r="C2982" s="171" t="s">
        <v>158</v>
      </c>
      <c r="D2982" s="171" t="s">
        <v>4</v>
      </c>
      <c r="E2982" s="11">
        <v>41852</v>
      </c>
      <c r="H2982" t="e">
        <v>#DIV/0!</v>
      </c>
      <c r="K2982" t="e">
        <v>#DIV/0!</v>
      </c>
      <c r="M2982" t="e">
        <v>#DIV/0!</v>
      </c>
      <c r="R2982" t="e">
        <v>#DIV/0!</v>
      </c>
    </row>
    <row r="2983" spans="1:20" x14ac:dyDescent="0.3">
      <c r="A2983" t="s">
        <v>5985</v>
      </c>
      <c r="B2983" s="171" t="s">
        <v>5986</v>
      </c>
      <c r="C2983" s="171" t="s">
        <v>164</v>
      </c>
      <c r="D2983" s="171" t="s">
        <v>4</v>
      </c>
      <c r="E2983" s="11">
        <v>41852</v>
      </c>
      <c r="H2983" t="e">
        <v>#DIV/0!</v>
      </c>
      <c r="K2983" t="e">
        <v>#DIV/0!</v>
      </c>
      <c r="M2983" t="e">
        <v>#DIV/0!</v>
      </c>
      <c r="R2983" t="e">
        <v>#DIV/0!</v>
      </c>
      <c r="T2983">
        <v>0.8</v>
      </c>
    </row>
    <row r="2984" spans="1:20" x14ac:dyDescent="0.3">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5991</v>
      </c>
      <c r="B2986" s="171" t="s">
        <v>5992</v>
      </c>
      <c r="C2986" s="171" t="s">
        <v>224</v>
      </c>
      <c r="D2986" s="171" t="s">
        <v>4</v>
      </c>
      <c r="E2986" s="11">
        <v>41852</v>
      </c>
      <c r="H2986" t="e">
        <v>#DIV/0!</v>
      </c>
      <c r="K2986" t="e">
        <v>#DIV/0!</v>
      </c>
      <c r="M2986" t="e">
        <v>#DIV/0!</v>
      </c>
      <c r="R2986" t="e">
        <v>#DIV/0!</v>
      </c>
    </row>
    <row r="2987" spans="1:20" x14ac:dyDescent="0.3">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x14ac:dyDescent="0.3">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6047</v>
      </c>
      <c r="B3014" s="171" t="s">
        <v>6048</v>
      </c>
      <c r="C3014" s="171" t="s">
        <v>149</v>
      </c>
      <c r="D3014" s="171" t="s">
        <v>80</v>
      </c>
      <c r="E3014" s="11">
        <v>41883</v>
      </c>
      <c r="H3014" t="e">
        <v>#DIV/0!</v>
      </c>
      <c r="K3014" t="e">
        <v>#DIV/0!</v>
      </c>
      <c r="M3014" t="e">
        <v>#DIV/0!</v>
      </c>
      <c r="R3014" t="e">
        <v>#DIV/0!</v>
      </c>
      <c r="T3014">
        <v>0.80700000000000005</v>
      </c>
    </row>
    <row r="3015" spans="1:20" x14ac:dyDescent="0.3">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6057</v>
      </c>
      <c r="B3019" s="171" t="s">
        <v>6058</v>
      </c>
      <c r="C3019" s="171" t="s">
        <v>164</v>
      </c>
      <c r="D3019" s="171" t="s">
        <v>80</v>
      </c>
      <c r="E3019" s="11">
        <v>41883</v>
      </c>
      <c r="H3019" t="e">
        <v>#DIV/0!</v>
      </c>
      <c r="K3019" t="e">
        <v>#DIV/0!</v>
      </c>
      <c r="M3019" t="e">
        <v>#DIV/0!</v>
      </c>
      <c r="R3019" t="e">
        <v>#DIV/0!</v>
      </c>
      <c r="T3019">
        <v>0.67869149234602355</v>
      </c>
    </row>
    <row r="3020" spans="1:20" x14ac:dyDescent="0.3">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x14ac:dyDescent="0.3">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x14ac:dyDescent="0.3">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x14ac:dyDescent="0.3">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x14ac:dyDescent="0.3">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x14ac:dyDescent="0.3">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x14ac:dyDescent="0.3">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6097</v>
      </c>
      <c r="B3039" s="171" t="s">
        <v>6098</v>
      </c>
      <c r="C3039" s="171" t="s">
        <v>224</v>
      </c>
      <c r="D3039" s="171" t="s">
        <v>80</v>
      </c>
      <c r="E3039" s="11">
        <v>41883</v>
      </c>
      <c r="H3039" t="e">
        <v>#DIV/0!</v>
      </c>
      <c r="K3039" t="e">
        <v>#DIV/0!</v>
      </c>
      <c r="M3039" t="e">
        <v>#DIV/0!</v>
      </c>
      <c r="R3039" t="e">
        <v>#DIV/0!</v>
      </c>
    </row>
    <row r="3040" spans="1:20" x14ac:dyDescent="0.3">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x14ac:dyDescent="0.3">
      <c r="A3041" t="s">
        <v>6101</v>
      </c>
      <c r="B3041" s="171" t="s">
        <v>6102</v>
      </c>
      <c r="C3041" s="171" t="s">
        <v>230</v>
      </c>
      <c r="D3041" s="171" t="s">
        <v>80</v>
      </c>
      <c r="E3041" s="11">
        <v>41883</v>
      </c>
    </row>
    <row r="3042" spans="1:20" x14ac:dyDescent="0.3">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x14ac:dyDescent="0.3">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x14ac:dyDescent="0.3">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x14ac:dyDescent="0.3">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x14ac:dyDescent="0.3">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x14ac:dyDescent="0.3">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6183</v>
      </c>
      <c r="B3082" s="171" t="s">
        <v>6184</v>
      </c>
      <c r="C3082" s="171" t="s">
        <v>149</v>
      </c>
      <c r="D3082" s="171" t="s">
        <v>4</v>
      </c>
      <c r="E3082" s="11">
        <v>41883</v>
      </c>
      <c r="H3082" t="e">
        <v>#DIV/0!</v>
      </c>
      <c r="K3082" t="e">
        <v>#DIV/0!</v>
      </c>
      <c r="M3082" t="e">
        <v>#DIV/0!</v>
      </c>
      <c r="R3082" t="e">
        <v>#DIV/0!</v>
      </c>
      <c r="T3082">
        <v>0.34868421052631576</v>
      </c>
    </row>
    <row r="3083" spans="1:20" x14ac:dyDescent="0.3">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6191</v>
      </c>
      <c r="B3086" s="171" t="s">
        <v>6192</v>
      </c>
      <c r="C3086" s="171" t="s">
        <v>164</v>
      </c>
      <c r="D3086" s="171" t="s">
        <v>4</v>
      </c>
      <c r="E3086" s="11">
        <v>41883</v>
      </c>
      <c r="H3086" t="e">
        <v>#DIV/0!</v>
      </c>
      <c r="K3086" t="e">
        <v>#DIV/0!</v>
      </c>
      <c r="M3086" t="e">
        <v>#DIV/0!</v>
      </c>
      <c r="R3086" t="e">
        <v>#DIV/0!</v>
      </c>
    </row>
    <row r="3087" spans="1:20" x14ac:dyDescent="0.3">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x14ac:dyDescent="0.3">
      <c r="A3089" t="s">
        <v>6197</v>
      </c>
      <c r="B3089" s="171" t="s">
        <v>6198</v>
      </c>
      <c r="C3089" s="171" t="s">
        <v>224</v>
      </c>
      <c r="D3089" s="171" t="s">
        <v>4</v>
      </c>
      <c r="E3089" s="11">
        <v>41883</v>
      </c>
      <c r="H3089" t="e">
        <v>#DIV/0!</v>
      </c>
      <c r="K3089" t="e">
        <v>#DIV/0!</v>
      </c>
      <c r="M3089" t="e">
        <v>#DIV/0!</v>
      </c>
      <c r="R3089" t="e">
        <v>#DIV/0!</v>
      </c>
      <c r="T3089">
        <v>1</v>
      </c>
    </row>
    <row r="3090" spans="1:20" x14ac:dyDescent="0.3">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6201</v>
      </c>
      <c r="B3091" s="171" t="s">
        <v>6202</v>
      </c>
      <c r="C3091" s="171" t="s">
        <v>230</v>
      </c>
      <c r="D3091" s="171" t="s">
        <v>4</v>
      </c>
      <c r="E3091" s="11">
        <v>41883</v>
      </c>
    </row>
    <row r="3092" spans="1:20" x14ac:dyDescent="0.3">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x14ac:dyDescent="0.3">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3">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x14ac:dyDescent="0.3">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x14ac:dyDescent="0.3">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6253</v>
      </c>
      <c r="B3117" s="171" t="s">
        <v>6254</v>
      </c>
      <c r="C3117" s="171" t="s">
        <v>149</v>
      </c>
      <c r="D3117" s="171" t="s">
        <v>80</v>
      </c>
      <c r="E3117" s="11">
        <v>41913</v>
      </c>
      <c r="H3117" t="e">
        <v>#DIV/0!</v>
      </c>
      <c r="K3117" t="e">
        <v>#DIV/0!</v>
      </c>
      <c r="M3117" t="e">
        <v>#DIV/0!</v>
      </c>
      <c r="R3117" t="e">
        <v>#DIV/0!</v>
      </c>
    </row>
    <row r="3118" spans="1:20" x14ac:dyDescent="0.3">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6263</v>
      </c>
      <c r="B3122" s="171" t="s">
        <v>6264</v>
      </c>
      <c r="C3122" s="171" t="s">
        <v>164</v>
      </c>
      <c r="D3122" s="171" t="s">
        <v>80</v>
      </c>
      <c r="E3122" s="11">
        <v>41913</v>
      </c>
      <c r="H3122" t="e">
        <v>#DIV/0!</v>
      </c>
      <c r="K3122" t="e">
        <v>#DIV/0!</v>
      </c>
      <c r="M3122" t="e">
        <v>#DIV/0!</v>
      </c>
      <c r="R3122" t="e">
        <v>#DIV/0!</v>
      </c>
      <c r="T3122" t="e">
        <v>#DIV/0!</v>
      </c>
    </row>
    <row r="3123" spans="1:20" x14ac:dyDescent="0.3">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x14ac:dyDescent="0.3">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x14ac:dyDescent="0.3">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x14ac:dyDescent="0.3">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x14ac:dyDescent="0.3">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x14ac:dyDescent="0.3">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6303</v>
      </c>
      <c r="B3142" s="171" t="s">
        <v>6304</v>
      </c>
      <c r="C3142" s="171" t="s">
        <v>224</v>
      </c>
      <c r="D3142" s="171" t="s">
        <v>80</v>
      </c>
      <c r="E3142" s="11">
        <v>41913</v>
      </c>
      <c r="H3142" t="e">
        <v>#DIV/0!</v>
      </c>
      <c r="K3142" t="e">
        <v>#DIV/0!</v>
      </c>
      <c r="M3142" t="e">
        <v>#DIV/0!</v>
      </c>
      <c r="R3142" t="e">
        <v>#DIV/0!</v>
      </c>
      <c r="T3142">
        <v>1.075</v>
      </c>
    </row>
    <row r="3143" spans="1:20" x14ac:dyDescent="0.3">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3">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x14ac:dyDescent="0.3">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x14ac:dyDescent="0.3">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x14ac:dyDescent="0.3">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x14ac:dyDescent="0.3">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x14ac:dyDescent="0.3">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x14ac:dyDescent="0.3">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6389</v>
      </c>
      <c r="B3185" s="171" t="s">
        <v>6390</v>
      </c>
      <c r="C3185" s="171" t="s">
        <v>149</v>
      </c>
      <c r="D3185" s="171" t="s">
        <v>4</v>
      </c>
      <c r="E3185" s="11">
        <v>41913</v>
      </c>
      <c r="H3185" t="e">
        <v>#DIV/0!</v>
      </c>
      <c r="K3185" t="e">
        <v>#DIV/0!</v>
      </c>
      <c r="M3185" t="e">
        <v>#DIV/0!</v>
      </c>
      <c r="R3185" t="e">
        <v>#DIV/0!</v>
      </c>
      <c r="T3185">
        <v>0.77173913043478259</v>
      </c>
    </row>
    <row r="3186" spans="1:20" x14ac:dyDescent="0.3">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6397</v>
      </c>
      <c r="B3189" s="171" t="s">
        <v>6398</v>
      </c>
      <c r="C3189" s="171" t="s">
        <v>164</v>
      </c>
      <c r="D3189" s="171" t="s">
        <v>4</v>
      </c>
      <c r="E3189" s="11">
        <v>41913</v>
      </c>
      <c r="H3189" t="e">
        <v>#DIV/0!</v>
      </c>
      <c r="K3189" t="e">
        <v>#DIV/0!</v>
      </c>
      <c r="M3189" t="e">
        <v>#DIV/0!</v>
      </c>
      <c r="R3189" t="e">
        <v>#DIV/0!</v>
      </c>
      <c r="T3189">
        <v>0.9375</v>
      </c>
    </row>
    <row r="3190" spans="1:20" x14ac:dyDescent="0.3">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6403</v>
      </c>
      <c r="B3192" s="171" t="s">
        <v>6404</v>
      </c>
      <c r="C3192" s="171" t="s">
        <v>224</v>
      </c>
      <c r="D3192" s="171" t="s">
        <v>4</v>
      </c>
      <c r="E3192" s="11">
        <v>41913</v>
      </c>
      <c r="H3192" t="e">
        <v>#DIV/0!</v>
      </c>
      <c r="K3192" t="e">
        <v>#DIV/0!</v>
      </c>
      <c r="M3192" t="e">
        <v>#DIV/0!</v>
      </c>
      <c r="R3192" t="e">
        <v>#DIV/0!</v>
      </c>
      <c r="T3192">
        <v>0.56045454545454543</v>
      </c>
    </row>
    <row r="3193" spans="1:20" x14ac:dyDescent="0.3">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x14ac:dyDescent="0.3">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6459</v>
      </c>
      <c r="B3220" s="171" t="s">
        <v>6460</v>
      </c>
      <c r="C3220" s="171" t="s">
        <v>149</v>
      </c>
      <c r="D3220" s="171" t="s">
        <v>80</v>
      </c>
      <c r="E3220" s="11">
        <v>41944</v>
      </c>
      <c r="H3220" t="e">
        <v>#DIV/0!</v>
      </c>
      <c r="K3220" t="e">
        <v>#DIV/0!</v>
      </c>
      <c r="M3220" t="e">
        <v>#DIV/0!</v>
      </c>
      <c r="R3220" t="e">
        <v>#DIV/0!</v>
      </c>
      <c r="T3220">
        <v>0.38</v>
      </c>
    </row>
    <row r="3221" spans="1:20" x14ac:dyDescent="0.3">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6469</v>
      </c>
      <c r="B3225" s="171" t="s">
        <v>6470</v>
      </c>
      <c r="C3225" s="171" t="s">
        <v>164</v>
      </c>
      <c r="D3225" s="171" t="s">
        <v>80</v>
      </c>
      <c r="E3225" s="11">
        <v>41944</v>
      </c>
      <c r="H3225" t="e">
        <v>#DIV/0!</v>
      </c>
      <c r="K3225" t="e">
        <v>#DIV/0!</v>
      </c>
      <c r="M3225" t="e">
        <v>#DIV/0!</v>
      </c>
      <c r="R3225" t="e">
        <v>#DIV/0!</v>
      </c>
      <c r="T3225">
        <v>0.82</v>
      </c>
    </row>
    <row r="3226" spans="1:20" x14ac:dyDescent="0.3">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x14ac:dyDescent="0.3">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x14ac:dyDescent="0.3">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x14ac:dyDescent="0.3">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x14ac:dyDescent="0.3">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x14ac:dyDescent="0.3">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6509</v>
      </c>
      <c r="B3245" s="171" t="s">
        <v>6510</v>
      </c>
      <c r="C3245" s="171" t="s">
        <v>224</v>
      </c>
      <c r="D3245" s="171" t="s">
        <v>80</v>
      </c>
      <c r="E3245" s="11">
        <v>41944</v>
      </c>
      <c r="H3245" t="e">
        <v>#DIV/0!</v>
      </c>
      <c r="K3245" t="e">
        <v>#DIV/0!</v>
      </c>
      <c r="M3245" t="e">
        <v>#DIV/0!</v>
      </c>
      <c r="R3245" t="e">
        <v>#DIV/0!</v>
      </c>
      <c r="T3245">
        <v>1</v>
      </c>
    </row>
    <row r="3246" spans="1:20" x14ac:dyDescent="0.3">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x14ac:dyDescent="0.3">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x14ac:dyDescent="0.3">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x14ac:dyDescent="0.3">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x14ac:dyDescent="0.3">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x14ac:dyDescent="0.3">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6595</v>
      </c>
      <c r="B3288" s="171" t="s">
        <v>6596</v>
      </c>
      <c r="C3288" s="171" t="s">
        <v>149</v>
      </c>
      <c r="D3288" s="171" t="s">
        <v>4</v>
      </c>
      <c r="E3288" s="11">
        <v>41944</v>
      </c>
      <c r="H3288" t="e">
        <v>#DIV/0!</v>
      </c>
      <c r="K3288" t="e">
        <v>#DIV/0!</v>
      </c>
      <c r="M3288" t="e">
        <v>#DIV/0!</v>
      </c>
      <c r="R3288" t="e">
        <v>#DIV/0!</v>
      </c>
      <c r="T3288">
        <v>1.1200000000000001</v>
      </c>
    </row>
    <row r="3289" spans="1:20" x14ac:dyDescent="0.3">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6603</v>
      </c>
      <c r="B3292" s="171" t="s">
        <v>6604</v>
      </c>
      <c r="C3292" s="171" t="s">
        <v>164</v>
      </c>
      <c r="D3292" s="171" t="s">
        <v>4</v>
      </c>
      <c r="E3292" s="11">
        <v>41944</v>
      </c>
      <c r="H3292" t="e">
        <v>#DIV/0!</v>
      </c>
      <c r="K3292" t="e">
        <v>#DIV/0!</v>
      </c>
      <c r="M3292" t="e">
        <v>#DIV/0!</v>
      </c>
      <c r="R3292" t="e">
        <v>#DIV/0!</v>
      </c>
      <c r="T3292">
        <v>0.95</v>
      </c>
    </row>
    <row r="3293" spans="1:20" x14ac:dyDescent="0.3">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6609</v>
      </c>
      <c r="B3295" s="171" t="s">
        <v>6610</v>
      </c>
      <c r="C3295" s="171" t="s">
        <v>224</v>
      </c>
      <c r="D3295" s="171" t="s">
        <v>4</v>
      </c>
      <c r="E3295" s="11">
        <v>41944</v>
      </c>
      <c r="H3295" t="e">
        <v>#DIV/0!</v>
      </c>
      <c r="K3295" t="e">
        <v>#DIV/0!</v>
      </c>
      <c r="M3295" t="e">
        <v>#DIV/0!</v>
      </c>
      <c r="R3295" t="e">
        <v>#DIV/0!</v>
      </c>
      <c r="T3295">
        <v>0.33</v>
      </c>
    </row>
    <row r="3296" spans="1:20" x14ac:dyDescent="0.3">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6665</v>
      </c>
      <c r="B3323" s="171" t="s">
        <v>6666</v>
      </c>
      <c r="C3323" s="171" t="s">
        <v>149</v>
      </c>
      <c r="D3323" s="171" t="s">
        <v>80</v>
      </c>
      <c r="E3323" s="11">
        <v>41974</v>
      </c>
      <c r="H3323" t="e">
        <v>#DIV/0!</v>
      </c>
      <c r="K3323" t="e">
        <v>#DIV/0!</v>
      </c>
      <c r="M3323" t="e">
        <v>#DIV/0!</v>
      </c>
      <c r="R3323" t="e">
        <v>#DIV/0!</v>
      </c>
      <c r="T3323" t="e">
        <v>#DIV/0!</v>
      </c>
    </row>
    <row r="3324" spans="1:20" x14ac:dyDescent="0.3">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3">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6675</v>
      </c>
      <c r="B3328" s="171" t="s">
        <v>6676</v>
      </c>
      <c r="C3328" s="171" t="s">
        <v>164</v>
      </c>
      <c r="D3328" s="171" t="s">
        <v>80</v>
      </c>
      <c r="E3328" s="11">
        <v>41974</v>
      </c>
      <c r="H3328" t="e">
        <v>#DIV/0!</v>
      </c>
      <c r="K3328" t="e">
        <v>#DIV/0!</v>
      </c>
      <c r="M3328" t="e">
        <v>#DIV/0!</v>
      </c>
      <c r="R3328" t="e">
        <v>#DIV/0!</v>
      </c>
      <c r="T3328">
        <v>0.875</v>
      </c>
    </row>
    <row r="3329" spans="1:20" x14ac:dyDescent="0.3">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3">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3">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x14ac:dyDescent="0.3">
      <c r="A3348" t="s">
        <v>6715</v>
      </c>
      <c r="B3348" s="171" t="s">
        <v>6716</v>
      </c>
      <c r="C3348" s="171" t="s">
        <v>224</v>
      </c>
      <c r="D3348" s="171" t="s">
        <v>80</v>
      </c>
      <c r="E3348" s="11">
        <v>41974</v>
      </c>
      <c r="H3348" t="e">
        <v>#DIV/0!</v>
      </c>
      <c r="K3348" t="e">
        <v>#DIV/0!</v>
      </c>
      <c r="M3348" t="e">
        <v>#DIV/0!</v>
      </c>
      <c r="R3348" t="e">
        <v>#DIV/0!</v>
      </c>
    </row>
    <row r="3349" spans="1:20" x14ac:dyDescent="0.3">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x14ac:dyDescent="0.3">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x14ac:dyDescent="0.3">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x14ac:dyDescent="0.3">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6801</v>
      </c>
      <c r="B3391" s="171" t="s">
        <v>6802</v>
      </c>
      <c r="C3391" s="171" t="s">
        <v>149</v>
      </c>
      <c r="D3391" s="171" t="s">
        <v>4</v>
      </c>
      <c r="E3391" s="11">
        <v>41974</v>
      </c>
      <c r="H3391" t="e">
        <v>#DIV/0!</v>
      </c>
      <c r="K3391" t="e">
        <v>#DIV/0!</v>
      </c>
      <c r="M3391" t="e">
        <v>#DIV/0!</v>
      </c>
      <c r="R3391" t="e">
        <v>#DIV/0!</v>
      </c>
      <c r="T3391">
        <v>0.66</v>
      </c>
    </row>
    <row r="3392" spans="1:20" x14ac:dyDescent="0.3">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6809</v>
      </c>
      <c r="B3395" s="171" t="s">
        <v>6810</v>
      </c>
      <c r="C3395" s="171" t="s">
        <v>164</v>
      </c>
      <c r="D3395" s="171" t="s">
        <v>4</v>
      </c>
      <c r="E3395" s="11">
        <v>41974</v>
      </c>
      <c r="H3395" t="e">
        <v>#DIV/0!</v>
      </c>
      <c r="K3395" t="e">
        <v>#DIV/0!</v>
      </c>
      <c r="M3395" t="e">
        <v>#DIV/0!</v>
      </c>
      <c r="R3395" t="e">
        <v>#DIV/0!</v>
      </c>
      <c r="T3395" t="e">
        <v>#DIV/0!</v>
      </c>
    </row>
    <row r="3396" spans="1:20" x14ac:dyDescent="0.3">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6815</v>
      </c>
      <c r="B3398" s="171" t="s">
        <v>6816</v>
      </c>
      <c r="C3398" s="171" t="s">
        <v>224</v>
      </c>
      <c r="D3398" s="171" t="s">
        <v>4</v>
      </c>
      <c r="E3398" s="11">
        <v>41974</v>
      </c>
      <c r="H3398" t="e">
        <v>#DIV/0!</v>
      </c>
      <c r="K3398" t="e">
        <v>#DIV/0!</v>
      </c>
      <c r="M3398" t="e">
        <v>#DIV/0!</v>
      </c>
      <c r="R3398" t="e">
        <v>#DIV/0!</v>
      </c>
      <c r="T3398">
        <v>1</v>
      </c>
    </row>
    <row r="3399" spans="1:20" x14ac:dyDescent="0.3">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x14ac:dyDescent="0.3">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x14ac:dyDescent="0.3">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x14ac:dyDescent="0.3">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x14ac:dyDescent="0.3">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x14ac:dyDescent="0.3">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x14ac:dyDescent="0.3">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x14ac:dyDescent="0.3">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x14ac:dyDescent="0.3">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x14ac:dyDescent="0.3">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x14ac:dyDescent="0.3">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x14ac:dyDescent="0.3">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x14ac:dyDescent="0.3">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x14ac:dyDescent="0.3">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x14ac:dyDescent="0.3">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x14ac:dyDescent="0.3">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x14ac:dyDescent="0.3">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x14ac:dyDescent="0.3">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x14ac:dyDescent="0.3">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x14ac:dyDescent="0.3">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x14ac:dyDescent="0.3">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x14ac:dyDescent="0.3">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x14ac:dyDescent="0.3">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x14ac:dyDescent="0.3">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x14ac:dyDescent="0.3">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x14ac:dyDescent="0.3">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x14ac:dyDescent="0.3">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x14ac:dyDescent="0.3">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x14ac:dyDescent="0.3">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x14ac:dyDescent="0.3">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x14ac:dyDescent="0.3">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x14ac:dyDescent="0.3">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x14ac:dyDescent="0.3">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x14ac:dyDescent="0.3">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x14ac:dyDescent="0.3">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x14ac:dyDescent="0.3">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x14ac:dyDescent="0.3">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x14ac:dyDescent="0.3">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x14ac:dyDescent="0.3">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x14ac:dyDescent="0.3">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x14ac:dyDescent="0.3">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x14ac:dyDescent="0.3">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x14ac:dyDescent="0.3">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x14ac:dyDescent="0.3">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x14ac:dyDescent="0.3">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x14ac:dyDescent="0.3">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x14ac:dyDescent="0.3">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x14ac:dyDescent="0.3">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x14ac:dyDescent="0.3">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x14ac:dyDescent="0.3">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x14ac:dyDescent="0.3">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x14ac:dyDescent="0.3">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x14ac:dyDescent="0.3">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x14ac:dyDescent="0.3">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x14ac:dyDescent="0.3">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x14ac:dyDescent="0.3">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x14ac:dyDescent="0.3">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x14ac:dyDescent="0.3">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x14ac:dyDescent="0.3">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x14ac:dyDescent="0.3">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x14ac:dyDescent="0.3">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x14ac:dyDescent="0.3">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x14ac:dyDescent="0.3">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x14ac:dyDescent="0.3">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x14ac:dyDescent="0.3">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x14ac:dyDescent="0.3">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x14ac:dyDescent="0.3">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x14ac:dyDescent="0.3">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x14ac:dyDescent="0.3">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x14ac:dyDescent="0.3">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x14ac:dyDescent="0.3">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x14ac:dyDescent="0.3">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x14ac:dyDescent="0.3">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x14ac:dyDescent="0.3">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x14ac:dyDescent="0.3">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x14ac:dyDescent="0.3">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x14ac:dyDescent="0.3">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x14ac:dyDescent="0.3">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x14ac:dyDescent="0.3">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x14ac:dyDescent="0.3">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x14ac:dyDescent="0.3">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x14ac:dyDescent="0.3">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x14ac:dyDescent="0.3">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x14ac:dyDescent="0.3">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x14ac:dyDescent="0.3">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x14ac:dyDescent="0.3">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x14ac:dyDescent="0.3">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x14ac:dyDescent="0.3">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x14ac:dyDescent="0.3">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x14ac:dyDescent="0.3">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x14ac:dyDescent="0.3">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x14ac:dyDescent="0.3">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x14ac:dyDescent="0.3">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x14ac:dyDescent="0.3">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x14ac:dyDescent="0.3">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x14ac:dyDescent="0.3">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x14ac:dyDescent="0.3">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x14ac:dyDescent="0.3">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x14ac:dyDescent="0.3">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3">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x14ac:dyDescent="0.3">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x14ac:dyDescent="0.3">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x14ac:dyDescent="0.3">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x14ac:dyDescent="0.3">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x14ac:dyDescent="0.3">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x14ac:dyDescent="0.3">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x14ac:dyDescent="0.3">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x14ac:dyDescent="0.3">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x14ac:dyDescent="0.3">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x14ac:dyDescent="0.3">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x14ac:dyDescent="0.3">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x14ac:dyDescent="0.3">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x14ac:dyDescent="0.3">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x14ac:dyDescent="0.3">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x14ac:dyDescent="0.3">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x14ac:dyDescent="0.3">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x14ac:dyDescent="0.3">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x14ac:dyDescent="0.3">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x14ac:dyDescent="0.3">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x14ac:dyDescent="0.3">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x14ac:dyDescent="0.3">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x14ac:dyDescent="0.3">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x14ac:dyDescent="0.3">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x14ac:dyDescent="0.3">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x14ac:dyDescent="0.3">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x14ac:dyDescent="0.3">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x14ac:dyDescent="0.3">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x14ac:dyDescent="0.3">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x14ac:dyDescent="0.3">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x14ac:dyDescent="0.3">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x14ac:dyDescent="0.3">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x14ac:dyDescent="0.3">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x14ac:dyDescent="0.3">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x14ac:dyDescent="0.3">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x14ac:dyDescent="0.3">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x14ac:dyDescent="0.3">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x14ac:dyDescent="0.3">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x14ac:dyDescent="0.3">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x14ac:dyDescent="0.3">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x14ac:dyDescent="0.3">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x14ac:dyDescent="0.3">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x14ac:dyDescent="0.3">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x14ac:dyDescent="0.3">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x14ac:dyDescent="0.3">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x14ac:dyDescent="0.3">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x14ac:dyDescent="0.3">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x14ac:dyDescent="0.3">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x14ac:dyDescent="0.3">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x14ac:dyDescent="0.3">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x14ac:dyDescent="0.3">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x14ac:dyDescent="0.3">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x14ac:dyDescent="0.3">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x14ac:dyDescent="0.3">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x14ac:dyDescent="0.3">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x14ac:dyDescent="0.3">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x14ac:dyDescent="0.3">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x14ac:dyDescent="0.3">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x14ac:dyDescent="0.3">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x14ac:dyDescent="0.3">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x14ac:dyDescent="0.3">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x14ac:dyDescent="0.3">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x14ac:dyDescent="0.3">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x14ac:dyDescent="0.3">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x14ac:dyDescent="0.3">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x14ac:dyDescent="0.3">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x14ac:dyDescent="0.3">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x14ac:dyDescent="0.3">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3">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3">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x14ac:dyDescent="0.3">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x14ac:dyDescent="0.3">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x14ac:dyDescent="0.3">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x14ac:dyDescent="0.3">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x14ac:dyDescent="0.3">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x14ac:dyDescent="0.3">
      <c r="A4387" t="s">
        <v>8800</v>
      </c>
      <c r="B4387" s="171" t="s">
        <v>8801</v>
      </c>
      <c r="C4387" s="171" t="s">
        <v>8590</v>
      </c>
      <c r="D4387" s="171" t="s">
        <v>80</v>
      </c>
      <c r="E4387" s="11">
        <v>42309</v>
      </c>
      <c r="H4387" t="e">
        <v>#DIV/0!</v>
      </c>
      <c r="K4387" t="e">
        <v>#DIV/0!</v>
      </c>
      <c r="M4387" t="e">
        <v>#DIV/0!</v>
      </c>
      <c r="N4387">
        <v>0</v>
      </c>
      <c r="R4387" t="e">
        <v>#DIV/0!</v>
      </c>
    </row>
    <row r="4388" spans="1:19" x14ac:dyDescent="0.3">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x14ac:dyDescent="0.3">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x14ac:dyDescent="0.3">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x14ac:dyDescent="0.3">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x14ac:dyDescent="0.3">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x14ac:dyDescent="0.3">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3">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x14ac:dyDescent="0.3">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x14ac:dyDescent="0.3">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x14ac:dyDescent="0.3">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3">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x14ac:dyDescent="0.3">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x14ac:dyDescent="0.3">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x14ac:dyDescent="0.3">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x14ac:dyDescent="0.3">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x14ac:dyDescent="0.3">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8913</v>
      </c>
      <c r="B4444" s="171" t="s">
        <v>8914</v>
      </c>
      <c r="C4444" s="171" t="s">
        <v>8590</v>
      </c>
      <c r="D4444" s="171" t="s">
        <v>4</v>
      </c>
      <c r="E4444" s="11">
        <v>42309</v>
      </c>
      <c r="H4444" t="e">
        <v>#DIV/0!</v>
      </c>
      <c r="K4444" t="e">
        <v>#DIV/0!</v>
      </c>
      <c r="M4444" t="e">
        <v>#DIV/0!</v>
      </c>
      <c r="N4444">
        <v>0</v>
      </c>
      <c r="R4444" t="e">
        <v>#DIV/0!</v>
      </c>
    </row>
    <row r="4445" spans="1:19" x14ac:dyDescent="0.3">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x14ac:dyDescent="0.3">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x14ac:dyDescent="0.3">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x14ac:dyDescent="0.3">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x14ac:dyDescent="0.3">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x14ac:dyDescent="0.3">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x14ac:dyDescent="0.3">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3">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x14ac:dyDescent="0.3">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x14ac:dyDescent="0.3">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x14ac:dyDescent="0.3">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x14ac:dyDescent="0.3">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x14ac:dyDescent="0.3">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x14ac:dyDescent="0.3">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x14ac:dyDescent="0.3">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x14ac:dyDescent="0.3">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x14ac:dyDescent="0.3">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x14ac:dyDescent="0.3">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x14ac:dyDescent="0.3">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x14ac:dyDescent="0.3">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x14ac:dyDescent="0.3">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x14ac:dyDescent="0.3">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x14ac:dyDescent="0.3">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x14ac:dyDescent="0.3">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x14ac:dyDescent="0.3">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x14ac:dyDescent="0.3">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x14ac:dyDescent="0.3">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x14ac:dyDescent="0.3">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x14ac:dyDescent="0.3">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x14ac:dyDescent="0.3">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x14ac:dyDescent="0.3">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x14ac:dyDescent="0.3">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x14ac:dyDescent="0.3">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x14ac:dyDescent="0.3">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x14ac:dyDescent="0.3">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x14ac:dyDescent="0.3">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x14ac:dyDescent="0.3">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x14ac:dyDescent="0.3">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x14ac:dyDescent="0.3">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x14ac:dyDescent="0.3">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x14ac:dyDescent="0.3">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x14ac:dyDescent="0.3">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x14ac:dyDescent="0.3">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x14ac:dyDescent="0.3">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x14ac:dyDescent="0.3">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x14ac:dyDescent="0.3">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x14ac:dyDescent="0.3">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x14ac:dyDescent="0.3">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x14ac:dyDescent="0.3">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x14ac:dyDescent="0.3">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x14ac:dyDescent="0.3">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x14ac:dyDescent="0.3">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x14ac:dyDescent="0.3">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x14ac:dyDescent="0.3">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x14ac:dyDescent="0.3">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x14ac:dyDescent="0.3">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x14ac:dyDescent="0.3">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x14ac:dyDescent="0.3">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x14ac:dyDescent="0.3">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x14ac:dyDescent="0.3">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x14ac:dyDescent="0.3">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x14ac:dyDescent="0.3">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x14ac:dyDescent="0.3">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9433</v>
      </c>
      <c r="B4704" s="171" t="s">
        <v>9434</v>
      </c>
      <c r="C4704" s="171" t="s">
        <v>8180</v>
      </c>
      <c r="D4704" s="171" t="s">
        <v>80</v>
      </c>
      <c r="E4704" s="11">
        <v>42401</v>
      </c>
      <c r="H4704" t="e">
        <v>#DIV/0!</v>
      </c>
      <c r="K4704" t="e">
        <v>#DIV/0!</v>
      </c>
      <c r="M4704" t="e">
        <v>#DIV/0!</v>
      </c>
      <c r="Q4704">
        <v>0</v>
      </c>
      <c r="R4704" t="e">
        <v>#DIV/0!</v>
      </c>
    </row>
    <row r="4705" spans="1:19" x14ac:dyDescent="0.3">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x14ac:dyDescent="0.3">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9445</v>
      </c>
      <c r="B4710" s="171" t="s">
        <v>9446</v>
      </c>
      <c r="C4710" s="171" t="s">
        <v>230</v>
      </c>
      <c r="D4710" s="171" t="s">
        <v>80</v>
      </c>
      <c r="E4710" s="11">
        <v>42401</v>
      </c>
      <c r="H4710" t="e">
        <v>#DIV/0!</v>
      </c>
      <c r="K4710" t="e">
        <v>#DIV/0!</v>
      </c>
      <c r="M4710" t="e">
        <v>#DIV/0!</v>
      </c>
      <c r="R4710" t="e">
        <v>#DIV/0!</v>
      </c>
    </row>
    <row r="4711" spans="1:19" x14ac:dyDescent="0.3">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x14ac:dyDescent="0.3">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x14ac:dyDescent="0.3">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x14ac:dyDescent="0.3">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x14ac:dyDescent="0.3">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x14ac:dyDescent="0.3">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9547</v>
      </c>
      <c r="B4761" s="171" t="s">
        <v>9548</v>
      </c>
      <c r="C4761" s="171" t="s">
        <v>8180</v>
      </c>
      <c r="D4761" s="171" t="s">
        <v>4</v>
      </c>
      <c r="E4761" s="11">
        <v>42401</v>
      </c>
      <c r="H4761" t="e">
        <v>#DIV/0!</v>
      </c>
      <c r="K4761" t="e">
        <v>#DIV/0!</v>
      </c>
      <c r="M4761" t="e">
        <v>#DIV/0!</v>
      </c>
      <c r="Q4761">
        <v>0</v>
      </c>
      <c r="R4761" t="e">
        <v>#DIV/0!</v>
      </c>
    </row>
    <row r="4762" spans="1:19" x14ac:dyDescent="0.3">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x14ac:dyDescent="0.3">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x14ac:dyDescent="0.3">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x14ac:dyDescent="0.3">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x14ac:dyDescent="0.3">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x14ac:dyDescent="0.3">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x14ac:dyDescent="0.3">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x14ac:dyDescent="0.3">
      <c r="A4790" t="s">
        <v>9605</v>
      </c>
      <c r="B4790" s="171" t="s">
        <v>9606</v>
      </c>
      <c r="C4790" s="171" t="s">
        <v>230</v>
      </c>
      <c r="D4790" s="171" t="s">
        <v>4</v>
      </c>
      <c r="E4790" s="11">
        <v>42401</v>
      </c>
      <c r="H4790" t="e">
        <v>#DIV/0!</v>
      </c>
      <c r="K4790" t="e">
        <v>#DIV/0!</v>
      </c>
      <c r="M4790" t="e">
        <v>#DIV/0!</v>
      </c>
      <c r="R4790" t="e">
        <v>#DIV/0!</v>
      </c>
    </row>
    <row r="4791" spans="1:19" x14ac:dyDescent="0.3">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x14ac:dyDescent="0.3">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x14ac:dyDescent="0.3">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x14ac:dyDescent="0.3">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x14ac:dyDescent="0.3">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x14ac:dyDescent="0.3">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9647</v>
      </c>
      <c r="B4811" s="171" t="s">
        <v>9648</v>
      </c>
      <c r="C4811" s="171" t="s">
        <v>8180</v>
      </c>
      <c r="D4811" s="171" t="s">
        <v>80</v>
      </c>
      <c r="E4811" s="11">
        <v>42430</v>
      </c>
      <c r="H4811" t="e">
        <v>#DIV/0!</v>
      </c>
      <c r="K4811" t="e">
        <v>#DIV/0!</v>
      </c>
      <c r="M4811" t="e">
        <v>#DIV/0!</v>
      </c>
      <c r="Q4811">
        <v>0</v>
      </c>
      <c r="R4811" t="e">
        <v>#DIV/0!</v>
      </c>
    </row>
    <row r="4812" spans="1:19" x14ac:dyDescent="0.3">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x14ac:dyDescent="0.3">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9659</v>
      </c>
      <c r="B4817" s="171" t="s">
        <v>9660</v>
      </c>
      <c r="C4817" s="171" t="s">
        <v>230</v>
      </c>
      <c r="D4817" s="171" t="s">
        <v>80</v>
      </c>
      <c r="E4817" s="11">
        <v>42430</v>
      </c>
      <c r="H4817" t="e">
        <v>#DIV/0!</v>
      </c>
      <c r="K4817" t="e">
        <v>#DIV/0!</v>
      </c>
      <c r="M4817" t="e">
        <v>#DIV/0!</v>
      </c>
      <c r="R4817" t="e">
        <v>#DIV/0!</v>
      </c>
    </row>
    <row r="4818" spans="1:19" x14ac:dyDescent="0.3">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x14ac:dyDescent="0.3">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x14ac:dyDescent="0.3">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x14ac:dyDescent="0.3">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x14ac:dyDescent="0.3">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9760</v>
      </c>
      <c r="B4868" s="171" t="s">
        <v>9761</v>
      </c>
      <c r="C4868" s="171" t="s">
        <v>8180</v>
      </c>
      <c r="D4868" s="171" t="s">
        <v>4</v>
      </c>
      <c r="E4868" s="11">
        <v>42430</v>
      </c>
      <c r="H4868" t="e">
        <v>#DIV/0!</v>
      </c>
      <c r="K4868" t="e">
        <v>#DIV/0!</v>
      </c>
      <c r="M4868" t="e">
        <v>#DIV/0!</v>
      </c>
      <c r="Q4868">
        <v>0</v>
      </c>
      <c r="R4868" t="e">
        <v>#DIV/0!</v>
      </c>
    </row>
    <row r="4869" spans="1:19" x14ac:dyDescent="0.3">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x14ac:dyDescent="0.3">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x14ac:dyDescent="0.3">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x14ac:dyDescent="0.3">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x14ac:dyDescent="0.3">
      <c r="A4897" t="s">
        <v>9818</v>
      </c>
      <c r="B4897" s="171" t="s">
        <v>9819</v>
      </c>
      <c r="C4897" s="171" t="s">
        <v>230</v>
      </c>
      <c r="D4897" s="171" t="s">
        <v>4</v>
      </c>
      <c r="E4897" s="11">
        <v>42430</v>
      </c>
      <c r="H4897" t="e">
        <v>#DIV/0!</v>
      </c>
      <c r="K4897" t="e">
        <v>#DIV/0!</v>
      </c>
      <c r="M4897" t="e">
        <v>#DIV/0!</v>
      </c>
      <c r="R4897" t="e">
        <v>#DIV/0!</v>
      </c>
    </row>
    <row r="4898" spans="1:19" x14ac:dyDescent="0.3">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x14ac:dyDescent="0.3">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x14ac:dyDescent="0.3">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x14ac:dyDescent="0.3">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x14ac:dyDescent="0.3">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x14ac:dyDescent="0.3">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x14ac:dyDescent="0.3">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x14ac:dyDescent="0.3">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9873</v>
      </c>
      <c r="B4924" s="171" t="s">
        <v>9874</v>
      </c>
      <c r="C4924" s="171" t="s">
        <v>230</v>
      </c>
      <c r="D4924" s="171" t="s">
        <v>80</v>
      </c>
      <c r="E4924" s="11">
        <v>42461</v>
      </c>
      <c r="H4924" t="e">
        <v>#DIV/0!</v>
      </c>
      <c r="K4924" t="e">
        <v>#DIV/0!</v>
      </c>
      <c r="M4924" t="e">
        <v>#DIV/0!</v>
      </c>
      <c r="R4924" t="e">
        <v>#DIV/0!</v>
      </c>
    </row>
    <row r="4925" spans="1:19" x14ac:dyDescent="0.3">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x14ac:dyDescent="0.3">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x14ac:dyDescent="0.3">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x14ac:dyDescent="0.3">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x14ac:dyDescent="0.3">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x14ac:dyDescent="0.3">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x14ac:dyDescent="0.3">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x14ac:dyDescent="0.3">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x14ac:dyDescent="0.3">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x14ac:dyDescent="0.3">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x14ac:dyDescent="0.3">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x14ac:dyDescent="0.3">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x14ac:dyDescent="0.3">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x14ac:dyDescent="0.3">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x14ac:dyDescent="0.3">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x14ac:dyDescent="0.3">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x14ac:dyDescent="0.3">
      <c r="A5004" t="s">
        <v>10034</v>
      </c>
      <c r="B5004" s="171" t="s">
        <v>10035</v>
      </c>
      <c r="C5004" s="171" t="s">
        <v>230</v>
      </c>
      <c r="D5004" s="171" t="s">
        <v>4</v>
      </c>
      <c r="E5004" s="11">
        <v>42461</v>
      </c>
      <c r="H5004" t="e">
        <v>#DIV/0!</v>
      </c>
      <c r="K5004" t="e">
        <v>#DIV/0!</v>
      </c>
      <c r="M5004" t="e">
        <v>#DIV/0!</v>
      </c>
      <c r="R5004" t="e">
        <v>#DIV/0!</v>
      </c>
    </row>
    <row r="5005" spans="1:19" x14ac:dyDescent="0.3">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x14ac:dyDescent="0.3">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x14ac:dyDescent="0.3">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x14ac:dyDescent="0.3">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x14ac:dyDescent="0.3">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x14ac:dyDescent="0.3">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x14ac:dyDescent="0.3">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x14ac:dyDescent="0.3">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x14ac:dyDescent="0.3">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10088</v>
      </c>
      <c r="B5031" s="171" t="s">
        <v>10089</v>
      </c>
      <c r="C5031" s="171" t="s">
        <v>230</v>
      </c>
      <c r="D5031" s="171" t="s">
        <v>80</v>
      </c>
      <c r="E5031" s="11">
        <v>42491</v>
      </c>
      <c r="H5031" t="e">
        <v>#DIV/0!</v>
      </c>
      <c r="K5031" t="e">
        <v>#DIV/0!</v>
      </c>
      <c r="M5031" t="e">
        <v>#DIV/0!</v>
      </c>
      <c r="R5031" t="e">
        <v>#DIV/0!</v>
      </c>
    </row>
    <row r="5032" spans="1:19" x14ac:dyDescent="0.3">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x14ac:dyDescent="0.3">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x14ac:dyDescent="0.3">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x14ac:dyDescent="0.3">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x14ac:dyDescent="0.3">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x14ac:dyDescent="0.3">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x14ac:dyDescent="0.3">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x14ac:dyDescent="0.3">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x14ac:dyDescent="0.3">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x14ac:dyDescent="0.3">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x14ac:dyDescent="0.3">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x14ac:dyDescent="0.3">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x14ac:dyDescent="0.3">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x14ac:dyDescent="0.3">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x14ac:dyDescent="0.3">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x14ac:dyDescent="0.3">
      <c r="A5111" t="s">
        <v>10248</v>
      </c>
      <c r="B5111" s="171" t="s">
        <v>10249</v>
      </c>
      <c r="C5111" s="171" t="s">
        <v>230</v>
      </c>
      <c r="D5111" s="171" t="s">
        <v>4</v>
      </c>
      <c r="E5111" s="11">
        <v>42491</v>
      </c>
      <c r="H5111" t="e">
        <v>#DIV/0!</v>
      </c>
      <c r="K5111" t="e">
        <v>#DIV/0!</v>
      </c>
      <c r="M5111" t="e">
        <v>#DIV/0!</v>
      </c>
      <c r="R5111" t="e">
        <v>#DIV/0!</v>
      </c>
    </row>
    <row r="5112" spans="1:19" x14ac:dyDescent="0.3">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x14ac:dyDescent="0.3">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x14ac:dyDescent="0.3">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x14ac:dyDescent="0.3">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x14ac:dyDescent="0.3">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x14ac:dyDescent="0.3">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x14ac:dyDescent="0.3">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10302</v>
      </c>
      <c r="B5138" s="171" t="s">
        <v>10303</v>
      </c>
      <c r="C5138" s="171" t="s">
        <v>230</v>
      </c>
      <c r="D5138" s="171" t="s">
        <v>80</v>
      </c>
      <c r="E5138" s="11">
        <v>42522</v>
      </c>
      <c r="H5138" t="e">
        <v>#DIV/0!</v>
      </c>
      <c r="K5138" t="e">
        <v>#DIV/0!</v>
      </c>
      <c r="M5138" t="e">
        <v>#DIV/0!</v>
      </c>
      <c r="R5138" t="e">
        <v>#DIV/0!</v>
      </c>
    </row>
    <row r="5139" spans="1:19" x14ac:dyDescent="0.3">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x14ac:dyDescent="0.3">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x14ac:dyDescent="0.3">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x14ac:dyDescent="0.3">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x14ac:dyDescent="0.3">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x14ac:dyDescent="0.3">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x14ac:dyDescent="0.3">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x14ac:dyDescent="0.3">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x14ac:dyDescent="0.3">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x14ac:dyDescent="0.3">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x14ac:dyDescent="0.3">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x14ac:dyDescent="0.3">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x14ac:dyDescent="0.3">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x14ac:dyDescent="0.3">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x14ac:dyDescent="0.3">
      <c r="A5218" t="s">
        <v>10462</v>
      </c>
      <c r="B5218" s="171" t="s">
        <v>10463</v>
      </c>
      <c r="C5218" s="171" t="s">
        <v>230</v>
      </c>
      <c r="D5218" s="171" t="s">
        <v>4</v>
      </c>
      <c r="E5218" s="11">
        <v>42522</v>
      </c>
      <c r="H5218" t="e">
        <v>#DIV/0!</v>
      </c>
      <c r="K5218" t="e">
        <v>#DIV/0!</v>
      </c>
      <c r="M5218" t="e">
        <v>#DIV/0!</v>
      </c>
      <c r="R5218" t="e">
        <v>#DIV/0!</v>
      </c>
    </row>
    <row r="5219" spans="1:19" x14ac:dyDescent="0.3">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x14ac:dyDescent="0.3">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x14ac:dyDescent="0.3">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x14ac:dyDescent="0.3">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x14ac:dyDescent="0.3">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x14ac:dyDescent="0.3">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x14ac:dyDescent="0.3">
      <c r="A5245" t="s">
        <v>10516</v>
      </c>
      <c r="B5245" s="171" t="s">
        <v>10517</v>
      </c>
      <c r="C5245" s="171" t="s">
        <v>230</v>
      </c>
      <c r="D5245" s="171" t="s">
        <v>80</v>
      </c>
      <c r="E5245" s="11">
        <v>42552</v>
      </c>
      <c r="H5245" t="e">
        <v>#DIV/0!</v>
      </c>
      <c r="K5245" t="e">
        <v>#DIV/0!</v>
      </c>
      <c r="M5245" t="e">
        <v>#DIV/0!</v>
      </c>
      <c r="R5245" t="e">
        <v>#DIV/0!</v>
      </c>
    </row>
    <row r="5246" spans="1:19" x14ac:dyDescent="0.3">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x14ac:dyDescent="0.3">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x14ac:dyDescent="0.3">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x14ac:dyDescent="0.3">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x14ac:dyDescent="0.3">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x14ac:dyDescent="0.3">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x14ac:dyDescent="0.3">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x14ac:dyDescent="0.3">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x14ac:dyDescent="0.3">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x14ac:dyDescent="0.3">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x14ac:dyDescent="0.3">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x14ac:dyDescent="0.3">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x14ac:dyDescent="0.3">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x14ac:dyDescent="0.3">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x14ac:dyDescent="0.3">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10706</v>
      </c>
      <c r="B5337" s="171" t="s">
        <v>10707</v>
      </c>
      <c r="C5337" s="171" t="s">
        <v>230</v>
      </c>
      <c r="D5337" s="171" t="s">
        <v>4</v>
      </c>
      <c r="E5337" s="11">
        <v>42552</v>
      </c>
      <c r="H5337" t="e">
        <v>#DIV/0!</v>
      </c>
      <c r="K5337" t="e">
        <v>#DIV/0!</v>
      </c>
      <c r="M5337" t="e">
        <v>#DIV/0!</v>
      </c>
      <c r="R5337" t="e">
        <v>#DIV/0!</v>
      </c>
    </row>
    <row r="5338" spans="1:19" x14ac:dyDescent="0.3">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x14ac:dyDescent="0.3">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x14ac:dyDescent="0.3">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x14ac:dyDescent="0.3">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x14ac:dyDescent="0.3">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x14ac:dyDescent="0.3">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x14ac:dyDescent="0.3">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x14ac:dyDescent="0.3">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x14ac:dyDescent="0.3">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x14ac:dyDescent="0.3">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x14ac:dyDescent="0.3">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x14ac:dyDescent="0.3">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x14ac:dyDescent="0.3">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x14ac:dyDescent="0.3">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x14ac:dyDescent="0.3">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x14ac:dyDescent="0.3">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x14ac:dyDescent="0.3">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x14ac:dyDescent="0.3">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x14ac:dyDescent="0.3">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x14ac:dyDescent="0.3">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x14ac:dyDescent="0.3">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x14ac:dyDescent="0.3">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x14ac:dyDescent="0.3">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x14ac:dyDescent="0.3">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x14ac:dyDescent="0.3">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x14ac:dyDescent="0.3">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x14ac:dyDescent="0.3">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x14ac:dyDescent="0.3">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x14ac:dyDescent="0.3">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x14ac:dyDescent="0.3">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x14ac:dyDescent="0.3">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x14ac:dyDescent="0.3">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x14ac:dyDescent="0.3">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x14ac:dyDescent="0.3">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x14ac:dyDescent="0.3">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x14ac:dyDescent="0.3">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x14ac:dyDescent="0.3">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x14ac:dyDescent="0.3">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x14ac:dyDescent="0.3">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x14ac:dyDescent="0.3">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x14ac:dyDescent="0.3">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x14ac:dyDescent="0.3">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x14ac:dyDescent="0.3">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x14ac:dyDescent="0.3">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x14ac:dyDescent="0.3">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x14ac:dyDescent="0.3">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x14ac:dyDescent="0.3">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x14ac:dyDescent="0.3">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x14ac:dyDescent="0.3">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x14ac:dyDescent="0.3">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x14ac:dyDescent="0.3">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x14ac:dyDescent="0.3">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x14ac:dyDescent="0.3">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x14ac:dyDescent="0.3">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x14ac:dyDescent="0.3">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x14ac:dyDescent="0.3">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x14ac:dyDescent="0.3">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x14ac:dyDescent="0.3">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x14ac:dyDescent="0.3">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x14ac:dyDescent="0.3">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x14ac:dyDescent="0.3">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x14ac:dyDescent="0.3">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x14ac:dyDescent="0.3">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x14ac:dyDescent="0.3">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x14ac:dyDescent="0.3">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x14ac:dyDescent="0.3">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x14ac:dyDescent="0.3">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x14ac:dyDescent="0.3">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x14ac:dyDescent="0.3">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x14ac:dyDescent="0.3">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x14ac:dyDescent="0.3">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x14ac:dyDescent="0.3">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x14ac:dyDescent="0.3">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x14ac:dyDescent="0.3">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x14ac:dyDescent="0.3">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x14ac:dyDescent="0.3">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x14ac:dyDescent="0.3">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x14ac:dyDescent="0.3">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x14ac:dyDescent="0.3">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x14ac:dyDescent="0.3">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x14ac:dyDescent="0.3">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x14ac:dyDescent="0.3">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x14ac:dyDescent="0.3">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x14ac:dyDescent="0.3">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x14ac:dyDescent="0.3">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x14ac:dyDescent="0.3">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x14ac:dyDescent="0.3">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x14ac:dyDescent="0.3">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x14ac:dyDescent="0.3">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x14ac:dyDescent="0.3">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x14ac:dyDescent="0.3">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x14ac:dyDescent="0.3">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x14ac:dyDescent="0.3">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x14ac:dyDescent="0.3">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3">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x14ac:dyDescent="0.3">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x14ac:dyDescent="0.3">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x14ac:dyDescent="0.3">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x14ac:dyDescent="0.3">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x14ac:dyDescent="0.3">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x14ac:dyDescent="0.3">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x14ac:dyDescent="0.3">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x14ac:dyDescent="0.3">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x14ac:dyDescent="0.3">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x14ac:dyDescent="0.3">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x14ac:dyDescent="0.3">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x14ac:dyDescent="0.3">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x14ac:dyDescent="0.3">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x14ac:dyDescent="0.3">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x14ac:dyDescent="0.3">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x14ac:dyDescent="0.3">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x14ac:dyDescent="0.3">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x14ac:dyDescent="0.3">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x14ac:dyDescent="0.3">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x14ac:dyDescent="0.3">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x14ac:dyDescent="0.3">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x14ac:dyDescent="0.3">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x14ac:dyDescent="0.3">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x14ac:dyDescent="0.3">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x14ac:dyDescent="0.3">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x14ac:dyDescent="0.3">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x14ac:dyDescent="0.3">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x14ac:dyDescent="0.3">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x14ac:dyDescent="0.3">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x14ac:dyDescent="0.3">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3">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x14ac:dyDescent="0.3">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x14ac:dyDescent="0.3">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x14ac:dyDescent="0.3">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x14ac:dyDescent="0.3">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x14ac:dyDescent="0.3">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x14ac:dyDescent="0.3">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x14ac:dyDescent="0.3">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x14ac:dyDescent="0.3">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3">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x14ac:dyDescent="0.3">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x14ac:dyDescent="0.3">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3">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x14ac:dyDescent="0.3">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x14ac:dyDescent="0.3">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x14ac:dyDescent="0.3">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x14ac:dyDescent="0.3">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x14ac:dyDescent="0.3">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x14ac:dyDescent="0.3">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x14ac:dyDescent="0.3">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x14ac:dyDescent="0.3">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x14ac:dyDescent="0.3">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x14ac:dyDescent="0.3">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x14ac:dyDescent="0.3">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x14ac:dyDescent="0.3">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x14ac:dyDescent="0.3">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x14ac:dyDescent="0.3">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x14ac:dyDescent="0.3">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x14ac:dyDescent="0.3">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x14ac:dyDescent="0.3">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x14ac:dyDescent="0.3">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x14ac:dyDescent="0.3">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x14ac:dyDescent="0.3">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x14ac:dyDescent="0.3">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3">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3">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x14ac:dyDescent="0.3">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x14ac:dyDescent="0.3">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x14ac:dyDescent="0.3">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x14ac:dyDescent="0.3">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x14ac:dyDescent="0.3">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x14ac:dyDescent="0.3">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x14ac:dyDescent="0.3">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x14ac:dyDescent="0.3">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x14ac:dyDescent="0.3">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x14ac:dyDescent="0.3">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x14ac:dyDescent="0.3">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x14ac:dyDescent="0.3">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x14ac:dyDescent="0.3">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x14ac:dyDescent="0.3">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x14ac:dyDescent="0.3">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x14ac:dyDescent="0.3">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x14ac:dyDescent="0.3">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x14ac:dyDescent="0.3">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x14ac:dyDescent="0.3">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x14ac:dyDescent="0.3">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x14ac:dyDescent="0.3">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x14ac:dyDescent="0.3">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x14ac:dyDescent="0.3">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x14ac:dyDescent="0.3">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x14ac:dyDescent="0.3">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x14ac:dyDescent="0.3">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x14ac:dyDescent="0.3">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x14ac:dyDescent="0.3">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x14ac:dyDescent="0.3">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x14ac:dyDescent="0.3">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x14ac:dyDescent="0.3">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x14ac:dyDescent="0.3">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x14ac:dyDescent="0.3">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x14ac:dyDescent="0.3">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x14ac:dyDescent="0.3">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x14ac:dyDescent="0.3">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x14ac:dyDescent="0.3">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x14ac:dyDescent="0.3">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x14ac:dyDescent="0.3">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x14ac:dyDescent="0.3">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x14ac:dyDescent="0.3">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x14ac:dyDescent="0.3">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x14ac:dyDescent="0.3">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x14ac:dyDescent="0.3">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x14ac:dyDescent="0.3">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x14ac:dyDescent="0.3">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x14ac:dyDescent="0.3">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x14ac:dyDescent="0.3">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x14ac:dyDescent="0.3">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x14ac:dyDescent="0.3">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3">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x14ac:dyDescent="0.3">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x14ac:dyDescent="0.3">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x14ac:dyDescent="0.3">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x14ac:dyDescent="0.3">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x14ac:dyDescent="0.3">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x14ac:dyDescent="0.3">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x14ac:dyDescent="0.3">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3">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x14ac:dyDescent="0.3">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x14ac:dyDescent="0.3">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x14ac:dyDescent="0.3">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x14ac:dyDescent="0.3">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x14ac:dyDescent="0.3">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x14ac:dyDescent="0.3">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x14ac:dyDescent="0.3">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x14ac:dyDescent="0.3">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x14ac:dyDescent="0.3">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x14ac:dyDescent="0.3">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x14ac:dyDescent="0.3">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x14ac:dyDescent="0.3">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x14ac:dyDescent="0.3">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x14ac:dyDescent="0.3">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x14ac:dyDescent="0.3">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x14ac:dyDescent="0.3">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x14ac:dyDescent="0.3">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x14ac:dyDescent="0.3">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x14ac:dyDescent="0.3">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x14ac:dyDescent="0.3">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x14ac:dyDescent="0.3">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3">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x14ac:dyDescent="0.3">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x14ac:dyDescent="0.3">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3">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x14ac:dyDescent="0.3">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x14ac:dyDescent="0.3">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x14ac:dyDescent="0.3">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x14ac:dyDescent="0.3">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x14ac:dyDescent="0.3">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x14ac:dyDescent="0.3">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x14ac:dyDescent="0.3">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x14ac:dyDescent="0.3">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x14ac:dyDescent="0.3">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3">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x14ac:dyDescent="0.3">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3">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x14ac:dyDescent="0.3">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x14ac:dyDescent="0.3">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x14ac:dyDescent="0.3">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x14ac:dyDescent="0.3">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3">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x14ac:dyDescent="0.3">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x14ac:dyDescent="0.3">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3">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x14ac:dyDescent="0.3">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x14ac:dyDescent="0.3">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x14ac:dyDescent="0.3">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x14ac:dyDescent="0.3">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x14ac:dyDescent="0.3">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x14ac:dyDescent="0.3">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x14ac:dyDescent="0.3">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x14ac:dyDescent="0.3">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x14ac:dyDescent="0.3">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15498</v>
      </c>
      <c r="B7728" s="171" t="s">
        <v>15499</v>
      </c>
      <c r="C7728" s="171" t="s">
        <v>83</v>
      </c>
      <c r="D7728" s="171" t="s">
        <v>15341</v>
      </c>
      <c r="E7728" s="11">
        <v>43160</v>
      </c>
      <c r="H7728" t="e">
        <v>#DIV/0!</v>
      </c>
      <c r="K7728" t="e">
        <v>#DIV/0!</v>
      </c>
      <c r="M7728" t="e">
        <v>#DIV/0!</v>
      </c>
      <c r="P7728">
        <v>0</v>
      </c>
      <c r="Q7728">
        <v>0</v>
      </c>
      <c r="R7728" t="e">
        <v>#DIV/0!</v>
      </c>
    </row>
    <row r="7729" spans="1:19" x14ac:dyDescent="0.3">
      <c r="A7729" t="s">
        <v>15500</v>
      </c>
      <c r="B7729" s="171" t="s">
        <v>15501</v>
      </c>
      <c r="C7729" s="171" t="s">
        <v>95</v>
      </c>
      <c r="D7729" s="171" t="s">
        <v>15341</v>
      </c>
      <c r="E7729" s="11">
        <v>43160</v>
      </c>
      <c r="H7729" t="e">
        <v>#DIV/0!</v>
      </c>
      <c r="K7729" t="e">
        <v>#DIV/0!</v>
      </c>
      <c r="M7729" t="e">
        <v>#DIV/0!</v>
      </c>
      <c r="P7729">
        <v>0</v>
      </c>
      <c r="Q7729">
        <v>0</v>
      </c>
      <c r="R7729" t="e">
        <v>#DIV/0!</v>
      </c>
    </row>
    <row r="7730" spans="1:19" x14ac:dyDescent="0.3">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x14ac:dyDescent="0.3">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3">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3">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x14ac:dyDescent="0.3">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16016</v>
      </c>
      <c r="B7986" s="171" t="s">
        <v>16017</v>
      </c>
      <c r="C7986" s="171" t="s">
        <v>173</v>
      </c>
      <c r="D7986" s="171" t="s">
        <v>15341</v>
      </c>
      <c r="E7986" s="11">
        <v>43221</v>
      </c>
    </row>
    <row r="7987" spans="1:20" x14ac:dyDescent="0.3">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x14ac:dyDescent="0.3">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x14ac:dyDescent="0.3">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x14ac:dyDescent="0.3">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x14ac:dyDescent="0.3">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x14ac:dyDescent="0.3">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x14ac:dyDescent="0.3">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x14ac:dyDescent="0.3">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x14ac:dyDescent="0.3">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x14ac:dyDescent="0.3">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x14ac:dyDescent="0.3">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x14ac:dyDescent="0.3">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x14ac:dyDescent="0.3">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x14ac:dyDescent="0.3">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x14ac:dyDescent="0.3">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x14ac:dyDescent="0.3">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x14ac:dyDescent="0.3">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x14ac:dyDescent="0.3">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x14ac:dyDescent="0.3">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x14ac:dyDescent="0.3">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x14ac:dyDescent="0.3">
      <c r="A8391" t="s">
        <v>16830</v>
      </c>
      <c r="B8391" s="171" t="s">
        <v>16831</v>
      </c>
      <c r="C8391" s="171" t="s">
        <v>76</v>
      </c>
      <c r="D8391" s="171" t="s">
        <v>4</v>
      </c>
      <c r="E8391" s="11">
        <v>43313</v>
      </c>
      <c r="F8391">
        <v>0</v>
      </c>
      <c r="G8391">
        <v>0</v>
      </c>
      <c r="I8391">
        <v>0</v>
      </c>
      <c r="J8391">
        <v>0</v>
      </c>
      <c r="L8391">
        <v>0</v>
      </c>
      <c r="N8391">
        <v>0</v>
      </c>
      <c r="P8391">
        <v>0</v>
      </c>
      <c r="Q8391">
        <v>0</v>
      </c>
      <c r="S8391">
        <v>0</v>
      </c>
    </row>
    <row r="8392" spans="1:19" x14ac:dyDescent="0.3">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x14ac:dyDescent="0.3">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x14ac:dyDescent="0.3">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x14ac:dyDescent="0.3">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x14ac:dyDescent="0.3">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x14ac:dyDescent="0.3">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x14ac:dyDescent="0.3">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x14ac:dyDescent="0.3">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x14ac:dyDescent="0.3">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x14ac:dyDescent="0.3">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x14ac:dyDescent="0.3">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x14ac:dyDescent="0.3">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x14ac:dyDescent="0.3">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x14ac:dyDescent="0.3">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x14ac:dyDescent="0.3">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x14ac:dyDescent="0.3">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x14ac:dyDescent="0.3">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x14ac:dyDescent="0.3">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x14ac:dyDescent="0.3">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x14ac:dyDescent="0.3">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x14ac:dyDescent="0.3">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x14ac:dyDescent="0.3">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x14ac:dyDescent="0.3">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x14ac:dyDescent="0.3">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x14ac:dyDescent="0.3">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x14ac:dyDescent="0.3">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x14ac:dyDescent="0.3">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x14ac:dyDescent="0.3">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x14ac:dyDescent="0.3">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x14ac:dyDescent="0.3">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x14ac:dyDescent="0.3">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x14ac:dyDescent="0.3">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x14ac:dyDescent="0.3">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x14ac:dyDescent="0.3">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x14ac:dyDescent="0.3">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x14ac:dyDescent="0.3">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x14ac:dyDescent="0.3">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x14ac:dyDescent="0.3">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x14ac:dyDescent="0.3">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x14ac:dyDescent="0.3">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x14ac:dyDescent="0.3">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x14ac:dyDescent="0.3">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x14ac:dyDescent="0.3">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x14ac:dyDescent="0.3">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x14ac:dyDescent="0.3">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x14ac:dyDescent="0.3">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x14ac:dyDescent="0.3">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x14ac:dyDescent="0.3">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x14ac:dyDescent="0.3">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x14ac:dyDescent="0.3">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x14ac:dyDescent="0.3">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x14ac:dyDescent="0.3">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x14ac:dyDescent="0.3">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x14ac:dyDescent="0.3">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x14ac:dyDescent="0.3">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x14ac:dyDescent="0.3">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x14ac:dyDescent="0.3">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x14ac:dyDescent="0.3">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x14ac:dyDescent="0.3">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x14ac:dyDescent="0.3">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x14ac:dyDescent="0.3">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x14ac:dyDescent="0.3">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x14ac:dyDescent="0.3">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x14ac:dyDescent="0.3">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x14ac:dyDescent="0.3">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x14ac:dyDescent="0.3">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x14ac:dyDescent="0.3">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x14ac:dyDescent="0.3">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x14ac:dyDescent="0.3">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x14ac:dyDescent="0.3">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x14ac:dyDescent="0.3">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x14ac:dyDescent="0.3">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x14ac:dyDescent="0.3">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x14ac:dyDescent="0.3">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x14ac:dyDescent="0.3">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x14ac:dyDescent="0.3">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x14ac:dyDescent="0.3">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x14ac:dyDescent="0.3">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x14ac:dyDescent="0.3">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x14ac:dyDescent="0.3">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x14ac:dyDescent="0.3">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x14ac:dyDescent="0.3">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x14ac:dyDescent="0.3">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x14ac:dyDescent="0.3">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x14ac:dyDescent="0.3">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x14ac:dyDescent="0.3">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x14ac:dyDescent="0.3">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x14ac:dyDescent="0.3">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x14ac:dyDescent="0.3">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x14ac:dyDescent="0.3">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x14ac:dyDescent="0.3">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x14ac:dyDescent="0.3">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x14ac:dyDescent="0.3">
      <c r="A8484" t="s">
        <v>17016</v>
      </c>
      <c r="B8484" s="171" t="s">
        <v>17017</v>
      </c>
      <c r="C8484" s="171" t="s">
        <v>76</v>
      </c>
      <c r="D8484" s="171" t="s">
        <v>80</v>
      </c>
      <c r="E8484" s="11">
        <v>43313</v>
      </c>
      <c r="F8484">
        <v>0</v>
      </c>
      <c r="G8484">
        <v>0</v>
      </c>
      <c r="I8484">
        <v>0</v>
      </c>
      <c r="J8484">
        <v>0</v>
      </c>
      <c r="L8484">
        <v>0</v>
      </c>
      <c r="N8484">
        <v>0</v>
      </c>
      <c r="P8484">
        <v>0</v>
      </c>
      <c r="Q8484">
        <v>0</v>
      </c>
      <c r="S8484">
        <v>0</v>
      </c>
    </row>
    <row r="8485" spans="1:19" x14ac:dyDescent="0.3">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x14ac:dyDescent="0.3">
      <c r="A8486" t="s">
        <v>17020</v>
      </c>
      <c r="B8486" s="171" t="s">
        <v>17021</v>
      </c>
      <c r="C8486" s="171" t="s">
        <v>79</v>
      </c>
      <c r="D8486" s="171" t="s">
        <v>4</v>
      </c>
      <c r="E8486" s="11">
        <v>43313</v>
      </c>
      <c r="F8486">
        <v>0</v>
      </c>
      <c r="G8486">
        <v>0</v>
      </c>
      <c r="I8486">
        <v>0</v>
      </c>
      <c r="J8486">
        <v>0</v>
      </c>
      <c r="L8486">
        <v>0</v>
      </c>
      <c r="N8486">
        <v>0</v>
      </c>
      <c r="P8486">
        <v>0</v>
      </c>
      <c r="Q8486">
        <v>0</v>
      </c>
      <c r="S8486">
        <v>0</v>
      </c>
    </row>
    <row r="8487" spans="1:19" x14ac:dyDescent="0.3">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x14ac:dyDescent="0.3">
      <c r="A8488" t="s">
        <v>17024</v>
      </c>
      <c r="B8488" s="171" t="s">
        <v>17025</v>
      </c>
      <c r="C8488" s="171" t="s">
        <v>89</v>
      </c>
      <c r="D8488" s="171" t="s">
        <v>4</v>
      </c>
      <c r="E8488" s="11">
        <v>43313</v>
      </c>
      <c r="F8488">
        <v>0</v>
      </c>
      <c r="G8488">
        <v>0</v>
      </c>
      <c r="I8488">
        <v>0</v>
      </c>
      <c r="J8488">
        <v>0</v>
      </c>
      <c r="L8488">
        <v>0</v>
      </c>
      <c r="N8488">
        <v>0</v>
      </c>
      <c r="P8488">
        <v>0</v>
      </c>
      <c r="Q8488">
        <v>0</v>
      </c>
      <c r="S8488">
        <v>0</v>
      </c>
    </row>
    <row r="8489" spans="1:19" x14ac:dyDescent="0.3">
      <c r="A8489" t="s">
        <v>17026</v>
      </c>
      <c r="B8489" s="171" t="s">
        <v>17027</v>
      </c>
      <c r="C8489" s="171" t="s">
        <v>92</v>
      </c>
      <c r="D8489" s="171" t="s">
        <v>4</v>
      </c>
      <c r="E8489" s="11">
        <v>43313</v>
      </c>
      <c r="F8489">
        <v>0</v>
      </c>
      <c r="G8489">
        <v>0</v>
      </c>
      <c r="I8489">
        <v>0</v>
      </c>
      <c r="J8489">
        <v>0</v>
      </c>
      <c r="L8489">
        <v>0</v>
      </c>
      <c r="N8489">
        <v>0</v>
      </c>
      <c r="P8489">
        <v>0</v>
      </c>
      <c r="Q8489">
        <v>0</v>
      </c>
      <c r="S8489">
        <v>0</v>
      </c>
    </row>
    <row r="8490" spans="1:19" x14ac:dyDescent="0.3">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x14ac:dyDescent="0.3">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x14ac:dyDescent="0.3">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x14ac:dyDescent="0.3">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x14ac:dyDescent="0.3">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x14ac:dyDescent="0.3">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x14ac:dyDescent="0.3">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x14ac:dyDescent="0.3">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x14ac:dyDescent="0.3">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x14ac:dyDescent="0.3">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x14ac:dyDescent="0.3">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x14ac:dyDescent="0.3">
      <c r="A8501" t="s">
        <v>17050</v>
      </c>
      <c r="B8501" s="171" t="s">
        <v>17051</v>
      </c>
      <c r="C8501" s="171" t="s">
        <v>119</v>
      </c>
      <c r="D8501" s="171" t="s">
        <v>4</v>
      </c>
      <c r="E8501" s="11">
        <v>43313</v>
      </c>
      <c r="F8501">
        <v>0</v>
      </c>
      <c r="G8501">
        <v>0</v>
      </c>
      <c r="I8501">
        <v>0</v>
      </c>
      <c r="J8501">
        <v>0</v>
      </c>
      <c r="L8501">
        <v>0</v>
      </c>
      <c r="N8501">
        <v>0</v>
      </c>
      <c r="P8501">
        <v>0</v>
      </c>
      <c r="Q8501">
        <v>0</v>
      </c>
      <c r="S8501">
        <v>0</v>
      </c>
    </row>
    <row r="8502" spans="1:19" x14ac:dyDescent="0.3">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x14ac:dyDescent="0.3">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x14ac:dyDescent="0.3">
      <c r="A8504" t="s">
        <v>17056</v>
      </c>
      <c r="B8504" s="171" t="s">
        <v>17057</v>
      </c>
      <c r="C8504" s="171" t="s">
        <v>128</v>
      </c>
      <c r="D8504" s="171" t="s">
        <v>4</v>
      </c>
      <c r="E8504" s="11">
        <v>43313</v>
      </c>
      <c r="F8504">
        <v>0</v>
      </c>
      <c r="G8504">
        <v>0</v>
      </c>
      <c r="I8504">
        <v>0</v>
      </c>
      <c r="J8504">
        <v>0</v>
      </c>
      <c r="L8504">
        <v>0</v>
      </c>
      <c r="N8504">
        <v>0</v>
      </c>
      <c r="P8504">
        <v>0</v>
      </c>
      <c r="Q8504">
        <v>0</v>
      </c>
      <c r="S8504">
        <v>0</v>
      </c>
    </row>
    <row r="8505" spans="1:19" x14ac:dyDescent="0.3">
      <c r="A8505" t="s">
        <v>17058</v>
      </c>
      <c r="B8505" s="171" t="s">
        <v>17059</v>
      </c>
      <c r="C8505" s="171" t="s">
        <v>131</v>
      </c>
      <c r="D8505" s="171" t="s">
        <v>4</v>
      </c>
      <c r="E8505" s="11">
        <v>43313</v>
      </c>
      <c r="F8505">
        <v>0</v>
      </c>
      <c r="G8505">
        <v>0</v>
      </c>
      <c r="I8505">
        <v>0</v>
      </c>
      <c r="J8505">
        <v>0</v>
      </c>
      <c r="L8505">
        <v>0</v>
      </c>
      <c r="N8505">
        <v>0</v>
      </c>
      <c r="P8505">
        <v>0</v>
      </c>
      <c r="Q8505">
        <v>0</v>
      </c>
      <c r="S8505">
        <v>0</v>
      </c>
    </row>
    <row r="8506" spans="1:19" x14ac:dyDescent="0.3">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x14ac:dyDescent="0.3">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x14ac:dyDescent="0.3">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x14ac:dyDescent="0.3">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x14ac:dyDescent="0.3">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x14ac:dyDescent="0.3">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x14ac:dyDescent="0.3">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x14ac:dyDescent="0.3">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x14ac:dyDescent="0.3">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x14ac:dyDescent="0.3">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x14ac:dyDescent="0.3">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x14ac:dyDescent="0.3">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x14ac:dyDescent="0.3">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x14ac:dyDescent="0.3">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x14ac:dyDescent="0.3">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x14ac:dyDescent="0.3">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x14ac:dyDescent="0.3">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x14ac:dyDescent="0.3">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x14ac:dyDescent="0.3">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x14ac:dyDescent="0.3">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x14ac:dyDescent="0.3">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x14ac:dyDescent="0.3">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x14ac:dyDescent="0.3">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x14ac:dyDescent="0.3">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x14ac:dyDescent="0.3">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x14ac:dyDescent="0.3">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x14ac:dyDescent="0.3">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x14ac:dyDescent="0.3">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x14ac:dyDescent="0.3">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x14ac:dyDescent="0.3">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x14ac:dyDescent="0.3">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x14ac:dyDescent="0.3">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x14ac:dyDescent="0.3">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x14ac:dyDescent="0.3">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x14ac:dyDescent="0.3">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x14ac:dyDescent="0.3">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x14ac:dyDescent="0.3">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x14ac:dyDescent="0.3">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x14ac:dyDescent="0.3">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x14ac:dyDescent="0.3">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x14ac:dyDescent="0.3">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x14ac:dyDescent="0.3">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x14ac:dyDescent="0.3">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x14ac:dyDescent="0.3">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x14ac:dyDescent="0.3">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x14ac:dyDescent="0.3">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x14ac:dyDescent="0.3">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x14ac:dyDescent="0.3">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x14ac:dyDescent="0.3">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x14ac:dyDescent="0.3">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x14ac:dyDescent="0.3">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x14ac:dyDescent="0.3">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x14ac:dyDescent="0.3">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x14ac:dyDescent="0.3">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x14ac:dyDescent="0.3">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x14ac:dyDescent="0.3">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x14ac:dyDescent="0.3">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x14ac:dyDescent="0.3">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x14ac:dyDescent="0.3">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x14ac:dyDescent="0.3">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x14ac:dyDescent="0.3">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x14ac:dyDescent="0.3">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x14ac:dyDescent="0.3">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x14ac:dyDescent="0.3">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x14ac:dyDescent="0.3">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x14ac:dyDescent="0.3">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x14ac:dyDescent="0.3">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x14ac:dyDescent="0.3">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x14ac:dyDescent="0.3">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x14ac:dyDescent="0.3">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x14ac:dyDescent="0.3">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x14ac:dyDescent="0.3">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x14ac:dyDescent="0.3">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x14ac:dyDescent="0.3">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x14ac:dyDescent="0.3">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x14ac:dyDescent="0.3">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x14ac:dyDescent="0.3">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x14ac:dyDescent="0.3">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x14ac:dyDescent="0.3">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x14ac:dyDescent="0.3">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x14ac:dyDescent="0.3">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x14ac:dyDescent="0.3">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x14ac:dyDescent="0.3">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x14ac:dyDescent="0.3">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x14ac:dyDescent="0.3">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x14ac:dyDescent="0.3">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x14ac:dyDescent="0.3">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x14ac:dyDescent="0.3">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x14ac:dyDescent="0.3">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x14ac:dyDescent="0.3">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x14ac:dyDescent="0.3">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x14ac:dyDescent="0.3">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x14ac:dyDescent="0.3">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x14ac:dyDescent="0.3">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x14ac:dyDescent="0.3">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x14ac:dyDescent="0.3">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x14ac:dyDescent="0.3">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x14ac:dyDescent="0.3">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x14ac:dyDescent="0.3">
      <c r="A8604" t="s">
        <v>17256</v>
      </c>
      <c r="B8604" s="171" t="s">
        <v>17257</v>
      </c>
      <c r="C8604" s="171" t="s">
        <v>73</v>
      </c>
      <c r="D8604" s="171" t="s">
        <v>4</v>
      </c>
      <c r="E8604" s="11">
        <v>43344</v>
      </c>
      <c r="F8604">
        <v>1</v>
      </c>
      <c r="G8604">
        <v>1</v>
      </c>
      <c r="I8604">
        <v>4</v>
      </c>
      <c r="J8604">
        <v>6</v>
      </c>
      <c r="L8604">
        <v>6</v>
      </c>
      <c r="N8604">
        <v>4</v>
      </c>
      <c r="P8604">
        <v>0</v>
      </c>
      <c r="Q8604">
        <v>0</v>
      </c>
      <c r="S8604">
        <v>0</v>
      </c>
    </row>
    <row r="8605" spans="1:19" x14ac:dyDescent="0.3">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x14ac:dyDescent="0.3">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x14ac:dyDescent="0.3">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x14ac:dyDescent="0.3">
      <c r="A8608" t="s">
        <v>17264</v>
      </c>
      <c r="B8608" s="171" t="s">
        <v>17265</v>
      </c>
      <c r="C8608" s="171" t="s">
        <v>122</v>
      </c>
      <c r="D8608" s="171" t="s">
        <v>4</v>
      </c>
      <c r="E8608" s="11">
        <v>43344</v>
      </c>
      <c r="F8608">
        <v>0</v>
      </c>
      <c r="G8608">
        <v>0</v>
      </c>
      <c r="I8608">
        <v>0</v>
      </c>
      <c r="J8608">
        <v>0</v>
      </c>
      <c r="L8608">
        <v>0</v>
      </c>
      <c r="N8608">
        <v>0</v>
      </c>
      <c r="P8608">
        <v>0</v>
      </c>
      <c r="Q8608">
        <v>0</v>
      </c>
      <c r="S8608">
        <v>0</v>
      </c>
    </row>
    <row r="8609" spans="1:20" x14ac:dyDescent="0.3">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x14ac:dyDescent="0.3">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x14ac:dyDescent="0.3">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x14ac:dyDescent="0.3">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x14ac:dyDescent="0.3">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x14ac:dyDescent="0.3">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x14ac:dyDescent="0.3">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x14ac:dyDescent="0.3">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x14ac:dyDescent="0.3">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x14ac:dyDescent="0.3">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x14ac:dyDescent="0.3">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x14ac:dyDescent="0.3">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x14ac:dyDescent="0.3">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x14ac:dyDescent="0.3">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x14ac:dyDescent="0.3">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x14ac:dyDescent="0.3">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x14ac:dyDescent="0.3">
      <c r="A8625" t="s">
        <v>17298</v>
      </c>
      <c r="B8625" s="171" t="s">
        <v>17299</v>
      </c>
      <c r="C8625" s="171" t="s">
        <v>233</v>
      </c>
      <c r="D8625" s="171" t="s">
        <v>4</v>
      </c>
      <c r="E8625" s="11">
        <v>43344</v>
      </c>
      <c r="F8625">
        <v>0</v>
      </c>
      <c r="G8625">
        <v>0</v>
      </c>
      <c r="I8625">
        <v>0</v>
      </c>
      <c r="J8625">
        <v>0</v>
      </c>
      <c r="L8625">
        <v>0</v>
      </c>
      <c r="N8625">
        <v>0</v>
      </c>
      <c r="P8625">
        <v>0</v>
      </c>
      <c r="Q8625">
        <v>0</v>
      </c>
      <c r="S8625">
        <v>0</v>
      </c>
    </row>
    <row r="8626" spans="1:20" x14ac:dyDescent="0.3">
      <c r="A8626" t="s">
        <v>17300</v>
      </c>
      <c r="B8626" s="171" t="s">
        <v>17301</v>
      </c>
      <c r="C8626" s="171" t="s">
        <v>79</v>
      </c>
      <c r="D8626" s="171" t="s">
        <v>80</v>
      </c>
      <c r="E8626" s="11">
        <v>43344</v>
      </c>
      <c r="F8626">
        <v>0</v>
      </c>
      <c r="G8626">
        <v>0</v>
      </c>
      <c r="I8626">
        <v>0</v>
      </c>
      <c r="J8626">
        <v>0</v>
      </c>
      <c r="L8626">
        <v>0</v>
      </c>
      <c r="N8626">
        <v>0</v>
      </c>
      <c r="P8626">
        <v>0</v>
      </c>
      <c r="Q8626">
        <v>0</v>
      </c>
      <c r="S8626">
        <v>0</v>
      </c>
    </row>
    <row r="8627" spans="1:20" x14ac:dyDescent="0.3">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x14ac:dyDescent="0.3">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x14ac:dyDescent="0.3">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x14ac:dyDescent="0.3">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x14ac:dyDescent="0.3">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x14ac:dyDescent="0.3">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x14ac:dyDescent="0.3">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x14ac:dyDescent="0.3">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x14ac:dyDescent="0.3">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x14ac:dyDescent="0.3">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x14ac:dyDescent="0.3">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x14ac:dyDescent="0.3">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x14ac:dyDescent="0.3">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x14ac:dyDescent="0.3">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x14ac:dyDescent="0.3">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x14ac:dyDescent="0.3">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x14ac:dyDescent="0.3">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x14ac:dyDescent="0.3">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x14ac:dyDescent="0.3">
      <c r="A8646" t="s">
        <v>17340</v>
      </c>
      <c r="B8646" s="171" t="s">
        <v>17341</v>
      </c>
      <c r="C8646" s="171" t="s">
        <v>79</v>
      </c>
      <c r="D8646" s="171" t="s">
        <v>4</v>
      </c>
      <c r="E8646" s="11">
        <v>43344</v>
      </c>
      <c r="F8646">
        <v>0</v>
      </c>
      <c r="G8646">
        <v>0</v>
      </c>
      <c r="I8646">
        <v>0</v>
      </c>
      <c r="J8646">
        <v>0</v>
      </c>
      <c r="L8646">
        <v>0</v>
      </c>
      <c r="N8646">
        <v>0</v>
      </c>
      <c r="P8646">
        <v>0</v>
      </c>
      <c r="Q8646">
        <v>0</v>
      </c>
      <c r="S8646">
        <v>0</v>
      </c>
    </row>
    <row r="8647" spans="1:20" x14ac:dyDescent="0.3">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x14ac:dyDescent="0.3">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x14ac:dyDescent="0.3">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x14ac:dyDescent="0.3">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x14ac:dyDescent="0.3">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x14ac:dyDescent="0.3">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x14ac:dyDescent="0.3">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x14ac:dyDescent="0.3">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x14ac:dyDescent="0.3">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x14ac:dyDescent="0.3">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x14ac:dyDescent="0.3">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x14ac:dyDescent="0.3">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x14ac:dyDescent="0.3">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x14ac:dyDescent="0.3">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x14ac:dyDescent="0.3">
      <c r="A8661" t="s">
        <v>17370</v>
      </c>
      <c r="B8661" s="171" t="s">
        <v>17371</v>
      </c>
      <c r="C8661" s="171" t="s">
        <v>119</v>
      </c>
      <c r="D8661" s="171" t="s">
        <v>4</v>
      </c>
      <c r="E8661" s="11">
        <v>43344</v>
      </c>
      <c r="F8661">
        <v>0</v>
      </c>
      <c r="G8661">
        <v>0</v>
      </c>
      <c r="I8661">
        <v>0</v>
      </c>
      <c r="J8661">
        <v>0</v>
      </c>
      <c r="L8661">
        <v>0</v>
      </c>
      <c r="N8661">
        <v>0</v>
      </c>
      <c r="P8661">
        <v>0</v>
      </c>
      <c r="Q8661">
        <v>0</v>
      </c>
      <c r="S8661">
        <v>0</v>
      </c>
    </row>
    <row r="8662" spans="1:19" x14ac:dyDescent="0.3">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x14ac:dyDescent="0.3">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x14ac:dyDescent="0.3">
      <c r="A8664" t="s">
        <v>17376</v>
      </c>
      <c r="B8664" s="171" t="s">
        <v>17377</v>
      </c>
      <c r="C8664" s="171" t="s">
        <v>128</v>
      </c>
      <c r="D8664" s="171" t="s">
        <v>4</v>
      </c>
      <c r="E8664" s="11">
        <v>43344</v>
      </c>
      <c r="F8664">
        <v>0</v>
      </c>
      <c r="G8664">
        <v>0</v>
      </c>
      <c r="I8664">
        <v>0</v>
      </c>
      <c r="J8664">
        <v>0</v>
      </c>
      <c r="L8664">
        <v>0</v>
      </c>
      <c r="N8664">
        <v>0</v>
      </c>
      <c r="P8664">
        <v>0</v>
      </c>
      <c r="Q8664">
        <v>0</v>
      </c>
      <c r="S8664">
        <v>0</v>
      </c>
    </row>
    <row r="8665" spans="1:19" x14ac:dyDescent="0.3">
      <c r="A8665" t="s">
        <v>17378</v>
      </c>
      <c r="B8665" s="171" t="s">
        <v>17379</v>
      </c>
      <c r="C8665" s="171" t="s">
        <v>131</v>
      </c>
      <c r="D8665" s="171" t="s">
        <v>4</v>
      </c>
      <c r="E8665" s="11">
        <v>43344</v>
      </c>
      <c r="F8665">
        <v>0</v>
      </c>
      <c r="G8665">
        <v>0</v>
      </c>
      <c r="I8665">
        <v>0</v>
      </c>
      <c r="J8665">
        <v>0</v>
      </c>
      <c r="L8665">
        <v>0</v>
      </c>
      <c r="N8665">
        <v>0</v>
      </c>
      <c r="P8665">
        <v>0</v>
      </c>
      <c r="Q8665">
        <v>0</v>
      </c>
      <c r="S8665">
        <v>0</v>
      </c>
    </row>
    <row r="8666" spans="1:19" x14ac:dyDescent="0.3">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x14ac:dyDescent="0.3">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x14ac:dyDescent="0.3">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x14ac:dyDescent="0.3">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x14ac:dyDescent="0.3">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x14ac:dyDescent="0.3">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x14ac:dyDescent="0.3">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x14ac:dyDescent="0.3">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x14ac:dyDescent="0.3">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x14ac:dyDescent="0.3">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x14ac:dyDescent="0.3">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x14ac:dyDescent="0.3">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x14ac:dyDescent="0.3">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x14ac:dyDescent="0.3">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x14ac:dyDescent="0.3">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x14ac:dyDescent="0.3">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x14ac:dyDescent="0.3">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x14ac:dyDescent="0.3">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x14ac:dyDescent="0.3">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x14ac:dyDescent="0.3">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x14ac:dyDescent="0.3">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x14ac:dyDescent="0.3">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x14ac:dyDescent="0.3">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x14ac:dyDescent="0.3">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x14ac:dyDescent="0.3">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x14ac:dyDescent="0.3">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x14ac:dyDescent="0.3">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x14ac:dyDescent="0.3">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x14ac:dyDescent="0.3">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x14ac:dyDescent="0.3">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x14ac:dyDescent="0.3">
      <c r="A8696" t="s">
        <v>17440</v>
      </c>
      <c r="B8696" s="171" t="s">
        <v>17441</v>
      </c>
      <c r="C8696" s="171" t="s">
        <v>158</v>
      </c>
      <c r="D8696" s="171" t="s">
        <v>4</v>
      </c>
      <c r="E8696" s="11">
        <v>43344</v>
      </c>
      <c r="F8696">
        <v>0</v>
      </c>
      <c r="G8696">
        <v>0</v>
      </c>
      <c r="I8696">
        <v>0</v>
      </c>
      <c r="J8696">
        <v>0</v>
      </c>
      <c r="L8696">
        <v>0</v>
      </c>
      <c r="N8696">
        <v>0</v>
      </c>
      <c r="P8696">
        <v>0</v>
      </c>
      <c r="Q8696">
        <v>0</v>
      </c>
      <c r="S8696">
        <v>0</v>
      </c>
    </row>
    <row r="8697" spans="1:20" x14ac:dyDescent="0.3">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x14ac:dyDescent="0.3">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x14ac:dyDescent="0.3">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x14ac:dyDescent="0.3">
      <c r="A8700" t="s">
        <v>17448</v>
      </c>
      <c r="B8700" s="171" t="s">
        <v>17449</v>
      </c>
      <c r="C8700" s="171" t="s">
        <v>227</v>
      </c>
      <c r="D8700" s="171" t="s">
        <v>4</v>
      </c>
      <c r="E8700" s="11">
        <v>43344</v>
      </c>
      <c r="F8700">
        <v>0</v>
      </c>
      <c r="G8700">
        <v>0</v>
      </c>
      <c r="I8700">
        <v>0</v>
      </c>
      <c r="J8700">
        <v>0</v>
      </c>
      <c r="L8700">
        <v>0</v>
      </c>
      <c r="N8700">
        <v>0</v>
      </c>
      <c r="P8700">
        <v>0</v>
      </c>
      <c r="Q8700">
        <v>0</v>
      </c>
      <c r="S8700">
        <v>0</v>
      </c>
    </row>
    <row r="8701" spans="1:20" x14ac:dyDescent="0.3">
      <c r="A8701" t="s">
        <v>17450</v>
      </c>
      <c r="B8701" s="171" t="s">
        <v>17451</v>
      </c>
      <c r="C8701" s="171" t="s">
        <v>230</v>
      </c>
      <c r="D8701" s="171" t="s">
        <v>4</v>
      </c>
      <c r="E8701" s="11">
        <v>43344</v>
      </c>
      <c r="F8701">
        <v>0</v>
      </c>
      <c r="G8701">
        <v>0</v>
      </c>
      <c r="I8701">
        <v>0</v>
      </c>
      <c r="J8701">
        <v>0</v>
      </c>
      <c r="L8701">
        <v>0</v>
      </c>
      <c r="N8701">
        <v>0</v>
      </c>
      <c r="P8701">
        <v>0</v>
      </c>
      <c r="Q8701">
        <v>0</v>
      </c>
      <c r="S8701">
        <v>0</v>
      </c>
    </row>
    <row r="8702" spans="1:20" x14ac:dyDescent="0.3">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x14ac:dyDescent="0.3">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x14ac:dyDescent="0.3">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x14ac:dyDescent="0.3">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x14ac:dyDescent="0.3">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x14ac:dyDescent="0.3">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x14ac:dyDescent="0.3">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x14ac:dyDescent="0.3">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x14ac:dyDescent="0.3">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x14ac:dyDescent="0.3">
      <c r="A8711" t="s">
        <v>17470</v>
      </c>
      <c r="B8711" s="171" t="s">
        <v>17471</v>
      </c>
      <c r="C8711" s="171" t="s">
        <v>76</v>
      </c>
      <c r="D8711" s="171" t="s">
        <v>4</v>
      </c>
      <c r="E8711" s="11">
        <v>43374</v>
      </c>
      <c r="F8711">
        <v>0</v>
      </c>
      <c r="G8711">
        <v>0</v>
      </c>
      <c r="I8711">
        <v>0</v>
      </c>
      <c r="J8711">
        <v>0</v>
      </c>
      <c r="L8711">
        <v>0</v>
      </c>
      <c r="N8711">
        <v>0</v>
      </c>
      <c r="P8711">
        <v>0</v>
      </c>
      <c r="Q8711">
        <v>0</v>
      </c>
      <c r="S8711">
        <v>0</v>
      </c>
    </row>
    <row r="8712" spans="1:19" x14ac:dyDescent="0.3">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x14ac:dyDescent="0.3">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x14ac:dyDescent="0.3">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x14ac:dyDescent="0.3">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x14ac:dyDescent="0.3">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x14ac:dyDescent="0.3">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x14ac:dyDescent="0.3">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x14ac:dyDescent="0.3">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x14ac:dyDescent="0.3">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x14ac:dyDescent="0.3">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x14ac:dyDescent="0.3">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x14ac:dyDescent="0.3">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x14ac:dyDescent="0.3">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x14ac:dyDescent="0.3">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x14ac:dyDescent="0.3">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x14ac:dyDescent="0.3">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x14ac:dyDescent="0.3">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x14ac:dyDescent="0.3">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x14ac:dyDescent="0.3">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x14ac:dyDescent="0.3">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x14ac:dyDescent="0.3">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x14ac:dyDescent="0.3">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x14ac:dyDescent="0.3">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x14ac:dyDescent="0.3">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x14ac:dyDescent="0.3">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x14ac:dyDescent="0.3">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x14ac:dyDescent="0.3">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x14ac:dyDescent="0.3">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x14ac:dyDescent="0.3">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x14ac:dyDescent="0.3">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x14ac:dyDescent="0.3">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x14ac:dyDescent="0.3">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x14ac:dyDescent="0.3">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x14ac:dyDescent="0.3">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x14ac:dyDescent="0.3">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x14ac:dyDescent="0.3">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x14ac:dyDescent="0.3">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x14ac:dyDescent="0.3">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x14ac:dyDescent="0.3">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x14ac:dyDescent="0.3">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x14ac:dyDescent="0.3">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x14ac:dyDescent="0.3">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x14ac:dyDescent="0.3">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x14ac:dyDescent="0.3">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x14ac:dyDescent="0.3">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x14ac:dyDescent="0.3">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x14ac:dyDescent="0.3">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x14ac:dyDescent="0.3">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x14ac:dyDescent="0.3">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x14ac:dyDescent="0.3">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x14ac:dyDescent="0.3">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x14ac:dyDescent="0.3">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x14ac:dyDescent="0.3">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x14ac:dyDescent="0.3">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x14ac:dyDescent="0.3">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x14ac:dyDescent="0.3">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x14ac:dyDescent="0.3">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x14ac:dyDescent="0.3">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x14ac:dyDescent="0.3">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x14ac:dyDescent="0.3">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x14ac:dyDescent="0.3">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x14ac:dyDescent="0.3">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x14ac:dyDescent="0.3">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x14ac:dyDescent="0.3">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x14ac:dyDescent="0.3">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x14ac:dyDescent="0.3">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x14ac:dyDescent="0.3">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x14ac:dyDescent="0.3">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x14ac:dyDescent="0.3">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x14ac:dyDescent="0.3">
      <c r="A8781" t="s">
        <v>17610</v>
      </c>
      <c r="B8781" s="171" t="s">
        <v>17611</v>
      </c>
      <c r="C8781" s="171" t="s">
        <v>212</v>
      </c>
      <c r="D8781" s="171" t="s">
        <v>4</v>
      </c>
      <c r="E8781" s="11">
        <v>43374</v>
      </c>
      <c r="F8781">
        <v>0</v>
      </c>
      <c r="G8781">
        <v>0</v>
      </c>
      <c r="I8781">
        <v>0</v>
      </c>
      <c r="J8781">
        <v>0</v>
      </c>
      <c r="L8781">
        <v>0</v>
      </c>
      <c r="N8781">
        <v>0</v>
      </c>
      <c r="P8781">
        <v>0</v>
      </c>
      <c r="Q8781">
        <v>0</v>
      </c>
      <c r="S8781">
        <v>0</v>
      </c>
    </row>
    <row r="8782" spans="1:20" x14ac:dyDescent="0.3">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x14ac:dyDescent="0.3">
      <c r="A8783" t="s">
        <v>17614</v>
      </c>
      <c r="B8783" s="171" t="s">
        <v>17615</v>
      </c>
      <c r="C8783" s="171" t="s">
        <v>221</v>
      </c>
      <c r="D8783" s="171" t="s">
        <v>4</v>
      </c>
      <c r="E8783" s="11">
        <v>43374</v>
      </c>
      <c r="F8783">
        <v>0</v>
      </c>
      <c r="G8783">
        <v>0</v>
      </c>
      <c r="I8783">
        <v>0</v>
      </c>
      <c r="J8783">
        <v>0</v>
      </c>
      <c r="L8783">
        <v>0</v>
      </c>
      <c r="N8783">
        <v>0</v>
      </c>
      <c r="P8783">
        <v>0</v>
      </c>
      <c r="Q8783">
        <v>0</v>
      </c>
      <c r="S8783">
        <v>0</v>
      </c>
    </row>
    <row r="8784" spans="1:20" x14ac:dyDescent="0.3">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x14ac:dyDescent="0.3">
      <c r="A8785" t="s">
        <v>17618</v>
      </c>
      <c r="B8785" s="171" t="s">
        <v>17619</v>
      </c>
      <c r="C8785" s="171" t="s">
        <v>233</v>
      </c>
      <c r="D8785" s="171" t="s">
        <v>4</v>
      </c>
      <c r="E8785" s="11">
        <v>43374</v>
      </c>
      <c r="F8785">
        <v>0</v>
      </c>
      <c r="G8785">
        <v>0</v>
      </c>
      <c r="I8785">
        <v>0</v>
      </c>
      <c r="J8785">
        <v>0</v>
      </c>
      <c r="L8785">
        <v>0</v>
      </c>
      <c r="N8785">
        <v>0</v>
      </c>
      <c r="P8785">
        <v>0</v>
      </c>
      <c r="Q8785">
        <v>0</v>
      </c>
      <c r="S8785">
        <v>0</v>
      </c>
    </row>
    <row r="8786" spans="1:19" x14ac:dyDescent="0.3">
      <c r="A8786" t="s">
        <v>17620</v>
      </c>
      <c r="B8786" s="171" t="s">
        <v>17621</v>
      </c>
      <c r="C8786" s="171" t="s">
        <v>79</v>
      </c>
      <c r="D8786" s="171" t="s">
        <v>80</v>
      </c>
      <c r="E8786" s="11">
        <v>43374</v>
      </c>
      <c r="F8786">
        <v>0</v>
      </c>
      <c r="G8786">
        <v>0</v>
      </c>
      <c r="I8786">
        <v>0</v>
      </c>
      <c r="J8786">
        <v>0</v>
      </c>
      <c r="L8786">
        <v>0</v>
      </c>
      <c r="N8786">
        <v>0</v>
      </c>
      <c r="P8786">
        <v>0</v>
      </c>
      <c r="Q8786">
        <v>0</v>
      </c>
      <c r="S8786">
        <v>0</v>
      </c>
    </row>
    <row r="8787" spans="1:19" x14ac:dyDescent="0.3">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x14ac:dyDescent="0.3">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x14ac:dyDescent="0.3">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x14ac:dyDescent="0.3">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x14ac:dyDescent="0.3">
      <c r="A8791" t="s">
        <v>17630</v>
      </c>
      <c r="B8791" s="171" t="s">
        <v>17631</v>
      </c>
      <c r="C8791" s="171" t="s">
        <v>89</v>
      </c>
      <c r="D8791" s="171" t="s">
        <v>80</v>
      </c>
      <c r="E8791" s="11">
        <v>43374</v>
      </c>
      <c r="F8791">
        <v>0</v>
      </c>
      <c r="G8791">
        <v>0</v>
      </c>
      <c r="I8791">
        <v>0</v>
      </c>
      <c r="J8791">
        <v>0</v>
      </c>
      <c r="L8791">
        <v>0</v>
      </c>
      <c r="N8791">
        <v>0</v>
      </c>
      <c r="P8791">
        <v>0</v>
      </c>
      <c r="Q8791">
        <v>0</v>
      </c>
      <c r="S8791">
        <v>0</v>
      </c>
    </row>
    <row r="8792" spans="1:19" x14ac:dyDescent="0.3">
      <c r="A8792" t="s">
        <v>17632</v>
      </c>
      <c r="B8792" s="171" t="s">
        <v>17633</v>
      </c>
      <c r="C8792" s="171" t="s">
        <v>92</v>
      </c>
      <c r="D8792" s="171" t="s">
        <v>80</v>
      </c>
      <c r="E8792" s="11">
        <v>43374</v>
      </c>
      <c r="F8792">
        <v>0</v>
      </c>
      <c r="G8792">
        <v>0</v>
      </c>
      <c r="I8792">
        <v>0</v>
      </c>
      <c r="J8792">
        <v>0</v>
      </c>
      <c r="L8792">
        <v>0</v>
      </c>
      <c r="N8792">
        <v>0</v>
      </c>
      <c r="P8792">
        <v>0</v>
      </c>
      <c r="Q8792">
        <v>0</v>
      </c>
      <c r="S8792">
        <v>0</v>
      </c>
    </row>
    <row r="8793" spans="1:19" x14ac:dyDescent="0.3">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x14ac:dyDescent="0.3">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x14ac:dyDescent="0.3">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x14ac:dyDescent="0.3">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x14ac:dyDescent="0.3">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x14ac:dyDescent="0.3">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x14ac:dyDescent="0.3">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x14ac:dyDescent="0.3">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x14ac:dyDescent="0.3">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x14ac:dyDescent="0.3">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x14ac:dyDescent="0.3">
      <c r="A8803" t="s">
        <v>17654</v>
      </c>
      <c r="B8803" s="171" t="s">
        <v>17655</v>
      </c>
      <c r="C8803" s="171" t="s">
        <v>76</v>
      </c>
      <c r="D8803" s="171" t="s">
        <v>80</v>
      </c>
      <c r="E8803" s="11">
        <v>43374</v>
      </c>
      <c r="F8803">
        <v>0</v>
      </c>
      <c r="G8803">
        <v>0</v>
      </c>
      <c r="I8803">
        <v>0</v>
      </c>
      <c r="J8803">
        <v>0</v>
      </c>
      <c r="L8803">
        <v>0</v>
      </c>
      <c r="N8803">
        <v>0</v>
      </c>
      <c r="P8803">
        <v>0</v>
      </c>
      <c r="Q8803">
        <v>0</v>
      </c>
      <c r="S8803">
        <v>0</v>
      </c>
    </row>
    <row r="8804" spans="1:19" x14ac:dyDescent="0.3">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x14ac:dyDescent="0.3">
      <c r="A8805" t="s">
        <v>17658</v>
      </c>
      <c r="B8805" s="171" t="s">
        <v>17659</v>
      </c>
      <c r="C8805" s="171" t="s">
        <v>79</v>
      </c>
      <c r="D8805" s="171" t="s">
        <v>4</v>
      </c>
      <c r="E8805" s="11">
        <v>43374</v>
      </c>
      <c r="F8805">
        <v>0</v>
      </c>
      <c r="G8805">
        <v>0</v>
      </c>
      <c r="I8805">
        <v>0</v>
      </c>
      <c r="J8805">
        <v>0</v>
      </c>
      <c r="L8805">
        <v>0</v>
      </c>
      <c r="N8805">
        <v>0</v>
      </c>
      <c r="P8805">
        <v>0</v>
      </c>
      <c r="Q8805">
        <v>0</v>
      </c>
      <c r="S8805">
        <v>0</v>
      </c>
    </row>
    <row r="8806" spans="1:19" x14ac:dyDescent="0.3">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x14ac:dyDescent="0.3">
      <c r="A8807" t="s">
        <v>17662</v>
      </c>
      <c r="B8807" s="171" t="s">
        <v>17663</v>
      </c>
      <c r="C8807" s="171" t="s">
        <v>89</v>
      </c>
      <c r="D8807" s="171" t="s">
        <v>4</v>
      </c>
      <c r="E8807" s="11">
        <v>43374</v>
      </c>
      <c r="F8807">
        <v>0</v>
      </c>
      <c r="G8807">
        <v>0</v>
      </c>
      <c r="I8807">
        <v>0</v>
      </c>
      <c r="J8807">
        <v>0</v>
      </c>
      <c r="L8807">
        <v>0</v>
      </c>
      <c r="N8807">
        <v>0</v>
      </c>
      <c r="P8807">
        <v>0</v>
      </c>
      <c r="Q8807">
        <v>0</v>
      </c>
      <c r="S8807">
        <v>0</v>
      </c>
    </row>
    <row r="8808" spans="1:19" x14ac:dyDescent="0.3">
      <c r="A8808" t="s">
        <v>17664</v>
      </c>
      <c r="B8808" s="171" t="s">
        <v>17665</v>
      </c>
      <c r="C8808" s="171" t="s">
        <v>92</v>
      </c>
      <c r="D8808" s="171" t="s">
        <v>4</v>
      </c>
      <c r="E8808" s="11">
        <v>43374</v>
      </c>
      <c r="F8808">
        <v>0</v>
      </c>
      <c r="G8808">
        <v>0</v>
      </c>
      <c r="I8808">
        <v>0</v>
      </c>
      <c r="J8808">
        <v>0</v>
      </c>
      <c r="L8808">
        <v>0</v>
      </c>
      <c r="N8808">
        <v>0</v>
      </c>
      <c r="P8808">
        <v>0</v>
      </c>
      <c r="Q8808">
        <v>0</v>
      </c>
      <c r="S8808">
        <v>0</v>
      </c>
    </row>
    <row r="8809" spans="1:19" x14ac:dyDescent="0.3">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x14ac:dyDescent="0.3">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x14ac:dyDescent="0.3">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x14ac:dyDescent="0.3">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x14ac:dyDescent="0.3">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x14ac:dyDescent="0.3">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x14ac:dyDescent="0.3">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x14ac:dyDescent="0.3">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x14ac:dyDescent="0.3">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x14ac:dyDescent="0.3">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x14ac:dyDescent="0.3">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x14ac:dyDescent="0.3">
      <c r="A8820" t="s">
        <v>17688</v>
      </c>
      <c r="B8820" s="171" t="s">
        <v>17689</v>
      </c>
      <c r="C8820" s="171" t="s">
        <v>119</v>
      </c>
      <c r="D8820" s="171" t="s">
        <v>4</v>
      </c>
      <c r="E8820" s="11">
        <v>43374</v>
      </c>
      <c r="F8820">
        <v>0</v>
      </c>
      <c r="G8820">
        <v>0</v>
      </c>
      <c r="I8820">
        <v>0</v>
      </c>
      <c r="J8820">
        <v>0</v>
      </c>
      <c r="L8820">
        <v>0</v>
      </c>
      <c r="N8820">
        <v>0</v>
      </c>
      <c r="P8820">
        <v>0</v>
      </c>
      <c r="Q8820">
        <v>0</v>
      </c>
      <c r="S8820">
        <v>0</v>
      </c>
    </row>
    <row r="8821" spans="1:19" x14ac:dyDescent="0.3">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x14ac:dyDescent="0.3">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x14ac:dyDescent="0.3">
      <c r="A8823" t="s">
        <v>17694</v>
      </c>
      <c r="B8823" s="171" t="s">
        <v>17695</v>
      </c>
      <c r="C8823" s="171" t="s">
        <v>128</v>
      </c>
      <c r="D8823" s="171" t="s">
        <v>4</v>
      </c>
      <c r="E8823" s="11">
        <v>43374</v>
      </c>
      <c r="F8823">
        <v>0</v>
      </c>
      <c r="G8823">
        <v>0</v>
      </c>
      <c r="I8823">
        <v>0</v>
      </c>
      <c r="J8823">
        <v>0</v>
      </c>
      <c r="L8823">
        <v>0</v>
      </c>
      <c r="N8823">
        <v>0</v>
      </c>
      <c r="P8823">
        <v>0</v>
      </c>
      <c r="Q8823">
        <v>0</v>
      </c>
      <c r="S8823">
        <v>0</v>
      </c>
    </row>
    <row r="8824" spans="1:19" x14ac:dyDescent="0.3">
      <c r="A8824" t="s">
        <v>17696</v>
      </c>
      <c r="B8824" s="171" t="s">
        <v>17697</v>
      </c>
      <c r="C8824" s="171" t="s">
        <v>131</v>
      </c>
      <c r="D8824" s="171" t="s">
        <v>4</v>
      </c>
      <c r="E8824" s="11">
        <v>43374</v>
      </c>
      <c r="F8824">
        <v>0</v>
      </c>
      <c r="G8824">
        <v>0</v>
      </c>
      <c r="I8824">
        <v>0</v>
      </c>
      <c r="J8824">
        <v>0</v>
      </c>
      <c r="L8824">
        <v>0</v>
      </c>
      <c r="N8824">
        <v>0</v>
      </c>
      <c r="P8824">
        <v>0</v>
      </c>
      <c r="Q8824">
        <v>0</v>
      </c>
      <c r="S8824">
        <v>0</v>
      </c>
    </row>
    <row r="8825" spans="1:19" x14ac:dyDescent="0.3">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x14ac:dyDescent="0.3">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x14ac:dyDescent="0.3">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x14ac:dyDescent="0.3">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x14ac:dyDescent="0.3">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x14ac:dyDescent="0.3">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x14ac:dyDescent="0.3">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x14ac:dyDescent="0.3">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x14ac:dyDescent="0.3">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x14ac:dyDescent="0.3">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x14ac:dyDescent="0.3">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x14ac:dyDescent="0.3">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x14ac:dyDescent="0.3">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x14ac:dyDescent="0.3">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x14ac:dyDescent="0.3">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x14ac:dyDescent="0.3">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x14ac:dyDescent="0.3">
      <c r="A8841" t="s">
        <v>17730</v>
      </c>
      <c r="B8841" s="171" t="s">
        <v>17731</v>
      </c>
      <c r="C8841" s="171" t="s">
        <v>209</v>
      </c>
      <c r="D8841" s="171" t="s">
        <v>4</v>
      </c>
      <c r="E8841" s="11">
        <v>43374</v>
      </c>
      <c r="F8841">
        <v>0</v>
      </c>
      <c r="G8841">
        <v>0</v>
      </c>
      <c r="I8841">
        <v>0</v>
      </c>
      <c r="J8841">
        <v>0</v>
      </c>
      <c r="L8841">
        <v>0</v>
      </c>
      <c r="N8841">
        <v>0</v>
      </c>
      <c r="P8841">
        <v>0</v>
      </c>
      <c r="Q8841">
        <v>0</v>
      </c>
      <c r="S8841">
        <v>0</v>
      </c>
    </row>
    <row r="8842" spans="1:20" x14ac:dyDescent="0.3">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x14ac:dyDescent="0.3">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x14ac:dyDescent="0.3">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x14ac:dyDescent="0.3">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x14ac:dyDescent="0.3">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x14ac:dyDescent="0.3">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x14ac:dyDescent="0.3">
      <c r="A8848" t="s">
        <v>17744</v>
      </c>
      <c r="B8848" s="171" t="s">
        <v>17745</v>
      </c>
      <c r="C8848" s="171" t="s">
        <v>236</v>
      </c>
      <c r="D8848" s="171" t="s">
        <v>4</v>
      </c>
      <c r="E8848" s="11">
        <v>43374</v>
      </c>
      <c r="F8848">
        <v>0</v>
      </c>
      <c r="G8848">
        <v>0</v>
      </c>
      <c r="I8848">
        <v>0</v>
      </c>
      <c r="J8848">
        <v>0</v>
      </c>
      <c r="L8848">
        <v>0</v>
      </c>
      <c r="N8848">
        <v>0</v>
      </c>
      <c r="P8848">
        <v>0</v>
      </c>
      <c r="Q8848">
        <v>0</v>
      </c>
      <c r="S8848">
        <v>0</v>
      </c>
    </row>
    <row r="8849" spans="1:20" x14ac:dyDescent="0.3">
      <c r="A8849" t="s">
        <v>17746</v>
      </c>
      <c r="B8849" s="171" t="s">
        <v>17747</v>
      </c>
      <c r="C8849" s="171" t="s">
        <v>239</v>
      </c>
      <c r="D8849" s="171" t="s">
        <v>4</v>
      </c>
      <c r="E8849" s="11">
        <v>43374</v>
      </c>
      <c r="F8849">
        <v>0</v>
      </c>
      <c r="G8849">
        <v>0</v>
      </c>
      <c r="I8849">
        <v>0</v>
      </c>
      <c r="J8849">
        <v>0</v>
      </c>
      <c r="L8849">
        <v>0</v>
      </c>
      <c r="N8849">
        <v>0</v>
      </c>
      <c r="P8849">
        <v>0</v>
      </c>
      <c r="Q8849">
        <v>0</v>
      </c>
      <c r="S8849">
        <v>0</v>
      </c>
    </row>
    <row r="8850" spans="1:20" x14ac:dyDescent="0.3">
      <c r="A8850" t="s">
        <v>17748</v>
      </c>
      <c r="B8850" s="171" t="s">
        <v>17749</v>
      </c>
      <c r="C8850" s="171" t="s">
        <v>143</v>
      </c>
      <c r="D8850" s="171" t="s">
        <v>4</v>
      </c>
      <c r="E8850" s="11">
        <v>43374</v>
      </c>
      <c r="F8850">
        <v>0</v>
      </c>
      <c r="G8850">
        <v>0</v>
      </c>
      <c r="I8850">
        <v>0</v>
      </c>
      <c r="J8850">
        <v>0</v>
      </c>
      <c r="L8850">
        <v>0</v>
      </c>
      <c r="N8850">
        <v>0</v>
      </c>
      <c r="P8850">
        <v>0</v>
      </c>
      <c r="Q8850">
        <v>0</v>
      </c>
      <c r="S8850">
        <v>0</v>
      </c>
    </row>
    <row r="8851" spans="1:20" x14ac:dyDescent="0.3">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x14ac:dyDescent="0.3">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x14ac:dyDescent="0.3">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x14ac:dyDescent="0.3">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x14ac:dyDescent="0.3">
      <c r="A8855" t="s">
        <v>17758</v>
      </c>
      <c r="B8855" s="171" t="s">
        <v>17759</v>
      </c>
      <c r="C8855" s="171" t="s">
        <v>158</v>
      </c>
      <c r="D8855" s="171" t="s">
        <v>4</v>
      </c>
      <c r="E8855" s="11">
        <v>43374</v>
      </c>
      <c r="F8855">
        <v>0</v>
      </c>
      <c r="G8855">
        <v>0</v>
      </c>
      <c r="I8855">
        <v>0</v>
      </c>
      <c r="J8855">
        <v>0</v>
      </c>
      <c r="L8855">
        <v>0</v>
      </c>
      <c r="N8855">
        <v>0</v>
      </c>
      <c r="P8855">
        <v>0</v>
      </c>
      <c r="Q8855">
        <v>0</v>
      </c>
      <c r="S8855">
        <v>0</v>
      </c>
    </row>
    <row r="8856" spans="1:20" x14ac:dyDescent="0.3">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x14ac:dyDescent="0.3">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x14ac:dyDescent="0.3">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x14ac:dyDescent="0.3">
      <c r="A8859" t="s">
        <v>17766</v>
      </c>
      <c r="B8859" s="171" t="s">
        <v>17767</v>
      </c>
      <c r="C8859" s="171" t="s">
        <v>227</v>
      </c>
      <c r="D8859" s="171" t="s">
        <v>4</v>
      </c>
      <c r="E8859" s="11">
        <v>43374</v>
      </c>
      <c r="F8859">
        <v>0</v>
      </c>
      <c r="G8859">
        <v>0</v>
      </c>
      <c r="I8859">
        <v>0</v>
      </c>
      <c r="J8859">
        <v>0</v>
      </c>
      <c r="L8859">
        <v>0</v>
      </c>
      <c r="N8859">
        <v>0</v>
      </c>
      <c r="P8859">
        <v>0</v>
      </c>
      <c r="Q8859">
        <v>0</v>
      </c>
      <c r="S8859">
        <v>0</v>
      </c>
    </row>
    <row r="8860" spans="1:20" x14ac:dyDescent="0.3">
      <c r="A8860" t="s">
        <v>17768</v>
      </c>
      <c r="B8860" s="171" t="s">
        <v>17769</v>
      </c>
      <c r="C8860" s="171" t="s">
        <v>230</v>
      </c>
      <c r="D8860" s="171" t="s">
        <v>4</v>
      </c>
      <c r="E8860" s="11">
        <v>43374</v>
      </c>
      <c r="F8860">
        <v>0</v>
      </c>
      <c r="G8860">
        <v>0</v>
      </c>
      <c r="I8860">
        <v>0</v>
      </c>
      <c r="J8860">
        <v>0</v>
      </c>
      <c r="L8860">
        <v>0</v>
      </c>
      <c r="N8860">
        <v>0</v>
      </c>
      <c r="P8860">
        <v>0</v>
      </c>
      <c r="Q8860">
        <v>0</v>
      </c>
      <c r="S8860">
        <v>0</v>
      </c>
    </row>
    <row r="8861" spans="1:20" x14ac:dyDescent="0.3">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x14ac:dyDescent="0.3">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x14ac:dyDescent="0.3">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x14ac:dyDescent="0.3">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x14ac:dyDescent="0.3">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x14ac:dyDescent="0.3">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x14ac:dyDescent="0.3">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x14ac:dyDescent="0.3">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x14ac:dyDescent="0.3">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x14ac:dyDescent="0.3">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x14ac:dyDescent="0.3">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x14ac:dyDescent="0.3">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x14ac:dyDescent="0.3">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x14ac:dyDescent="0.3">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x14ac:dyDescent="0.3">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x14ac:dyDescent="0.3">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x14ac:dyDescent="0.3">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x14ac:dyDescent="0.3">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x14ac:dyDescent="0.3">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x14ac:dyDescent="0.3">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x14ac:dyDescent="0.3">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x14ac:dyDescent="0.3">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x14ac:dyDescent="0.3">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x14ac:dyDescent="0.3">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x14ac:dyDescent="0.3">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x14ac:dyDescent="0.3">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x14ac:dyDescent="0.3">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x14ac:dyDescent="0.3">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x14ac:dyDescent="0.3">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x14ac:dyDescent="0.3">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x14ac:dyDescent="0.3">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x14ac:dyDescent="0.3">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x14ac:dyDescent="0.3">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x14ac:dyDescent="0.3">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x14ac:dyDescent="0.3">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x14ac:dyDescent="0.3">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x14ac:dyDescent="0.3">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x14ac:dyDescent="0.3">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x14ac:dyDescent="0.3">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x14ac:dyDescent="0.3">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x14ac:dyDescent="0.3">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x14ac:dyDescent="0.3">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x14ac:dyDescent="0.3">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x14ac:dyDescent="0.3">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x14ac:dyDescent="0.3">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x14ac:dyDescent="0.3">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x14ac:dyDescent="0.3">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x14ac:dyDescent="0.3">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x14ac:dyDescent="0.3">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x14ac:dyDescent="0.3">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x14ac:dyDescent="0.3">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x14ac:dyDescent="0.3">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x14ac:dyDescent="0.3">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x14ac:dyDescent="0.3">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x14ac:dyDescent="0.3">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x14ac:dyDescent="0.3">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x14ac:dyDescent="0.3">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x14ac:dyDescent="0.3">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x14ac:dyDescent="0.3">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x14ac:dyDescent="0.3">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x14ac:dyDescent="0.3">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x14ac:dyDescent="0.3">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x14ac:dyDescent="0.3">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x14ac:dyDescent="0.3">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x14ac:dyDescent="0.3">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x14ac:dyDescent="0.3">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x14ac:dyDescent="0.3">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x14ac:dyDescent="0.3">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x14ac:dyDescent="0.3">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x14ac:dyDescent="0.3">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x14ac:dyDescent="0.3">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x14ac:dyDescent="0.3">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x14ac:dyDescent="0.3">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x14ac:dyDescent="0.3">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x14ac:dyDescent="0.3">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x14ac:dyDescent="0.3">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x14ac:dyDescent="0.3">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x14ac:dyDescent="0.3">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x14ac:dyDescent="0.3">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x14ac:dyDescent="0.3">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x14ac:dyDescent="0.3">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x14ac:dyDescent="0.3">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x14ac:dyDescent="0.3">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x14ac:dyDescent="0.3">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x14ac:dyDescent="0.3">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x14ac:dyDescent="0.3">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x14ac:dyDescent="0.3">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x14ac:dyDescent="0.3">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x14ac:dyDescent="0.3">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x14ac:dyDescent="0.3">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x14ac:dyDescent="0.3">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x14ac:dyDescent="0.3">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x14ac:dyDescent="0.3">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x14ac:dyDescent="0.3">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x14ac:dyDescent="0.3">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x14ac:dyDescent="0.3">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x14ac:dyDescent="0.3">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x14ac:dyDescent="0.3">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x14ac:dyDescent="0.3">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x14ac:dyDescent="0.3">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x14ac:dyDescent="0.3">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x14ac:dyDescent="0.3">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x14ac:dyDescent="0.3">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x14ac:dyDescent="0.3">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x14ac:dyDescent="0.3">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x14ac:dyDescent="0.3">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x14ac:dyDescent="0.3">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x14ac:dyDescent="0.3">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x14ac:dyDescent="0.3">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x14ac:dyDescent="0.3">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x14ac:dyDescent="0.3">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x14ac:dyDescent="0.3">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x14ac:dyDescent="0.3">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x14ac:dyDescent="0.3">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x14ac:dyDescent="0.3">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x14ac:dyDescent="0.3">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x14ac:dyDescent="0.3">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x14ac:dyDescent="0.3">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x14ac:dyDescent="0.3">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x14ac:dyDescent="0.3">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x14ac:dyDescent="0.3">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x14ac:dyDescent="0.3">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x14ac:dyDescent="0.3">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x14ac:dyDescent="0.3">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x14ac:dyDescent="0.3">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x14ac:dyDescent="0.3">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x14ac:dyDescent="0.3">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x14ac:dyDescent="0.3">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x14ac:dyDescent="0.3">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x14ac:dyDescent="0.3">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x14ac:dyDescent="0.3">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x14ac:dyDescent="0.3">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x14ac:dyDescent="0.3">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x14ac:dyDescent="0.3">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x14ac:dyDescent="0.3">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x14ac:dyDescent="0.3">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x14ac:dyDescent="0.3">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x14ac:dyDescent="0.3">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x14ac:dyDescent="0.3">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x14ac:dyDescent="0.3">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x14ac:dyDescent="0.3">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x14ac:dyDescent="0.3">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x14ac:dyDescent="0.3">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x14ac:dyDescent="0.3">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x14ac:dyDescent="0.3">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x14ac:dyDescent="0.3">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x14ac:dyDescent="0.3">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x14ac:dyDescent="0.3">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x14ac:dyDescent="0.3">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x14ac:dyDescent="0.3">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x14ac:dyDescent="0.3">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x14ac:dyDescent="0.3">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x14ac:dyDescent="0.3">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x14ac:dyDescent="0.3">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x14ac:dyDescent="0.3">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x14ac:dyDescent="0.3">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x14ac:dyDescent="0.3">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x14ac:dyDescent="0.3">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x14ac:dyDescent="0.3">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x14ac:dyDescent="0.3">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x14ac:dyDescent="0.3">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x14ac:dyDescent="0.3">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x14ac:dyDescent="0.3">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x14ac:dyDescent="0.3">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x14ac:dyDescent="0.3">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x14ac:dyDescent="0.3">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x14ac:dyDescent="0.3">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x14ac:dyDescent="0.3">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x14ac:dyDescent="0.3">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x14ac:dyDescent="0.3">
      <c r="A9031" t="s">
        <v>18110</v>
      </c>
      <c r="B9031" s="171" t="s">
        <v>18111</v>
      </c>
      <c r="C9031" s="171" t="s">
        <v>76</v>
      </c>
      <c r="D9031" s="171" t="s">
        <v>4</v>
      </c>
      <c r="E9031" s="11">
        <v>43435</v>
      </c>
      <c r="F9031">
        <v>0</v>
      </c>
      <c r="G9031">
        <v>0</v>
      </c>
      <c r="I9031">
        <v>0</v>
      </c>
      <c r="J9031">
        <v>0</v>
      </c>
      <c r="L9031">
        <v>0</v>
      </c>
      <c r="N9031">
        <v>0</v>
      </c>
      <c r="P9031">
        <v>0</v>
      </c>
      <c r="Q9031">
        <v>0</v>
      </c>
      <c r="S9031">
        <v>0</v>
      </c>
    </row>
    <row r="9032" spans="1:20" x14ac:dyDescent="0.3">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x14ac:dyDescent="0.3">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x14ac:dyDescent="0.3">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x14ac:dyDescent="0.3">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x14ac:dyDescent="0.3">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x14ac:dyDescent="0.3">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x14ac:dyDescent="0.3">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x14ac:dyDescent="0.3">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x14ac:dyDescent="0.3">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x14ac:dyDescent="0.3">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x14ac:dyDescent="0.3">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x14ac:dyDescent="0.3">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x14ac:dyDescent="0.3">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x14ac:dyDescent="0.3">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x14ac:dyDescent="0.3">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x14ac:dyDescent="0.3">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x14ac:dyDescent="0.3">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x14ac:dyDescent="0.3">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x14ac:dyDescent="0.3">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x14ac:dyDescent="0.3">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x14ac:dyDescent="0.3">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x14ac:dyDescent="0.3">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x14ac:dyDescent="0.3">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x14ac:dyDescent="0.3">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x14ac:dyDescent="0.3">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x14ac:dyDescent="0.3">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x14ac:dyDescent="0.3">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x14ac:dyDescent="0.3">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x14ac:dyDescent="0.3">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x14ac:dyDescent="0.3">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x14ac:dyDescent="0.3">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x14ac:dyDescent="0.3">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x14ac:dyDescent="0.3">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x14ac:dyDescent="0.3">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x14ac:dyDescent="0.3">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x14ac:dyDescent="0.3">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x14ac:dyDescent="0.3">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x14ac:dyDescent="0.3">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x14ac:dyDescent="0.3">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x14ac:dyDescent="0.3">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x14ac:dyDescent="0.3">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x14ac:dyDescent="0.3">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x14ac:dyDescent="0.3">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x14ac:dyDescent="0.3">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x14ac:dyDescent="0.3">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x14ac:dyDescent="0.3">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x14ac:dyDescent="0.3">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x14ac:dyDescent="0.3">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x14ac:dyDescent="0.3">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x14ac:dyDescent="0.3">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x14ac:dyDescent="0.3">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x14ac:dyDescent="0.3">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x14ac:dyDescent="0.3">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x14ac:dyDescent="0.3">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x14ac:dyDescent="0.3">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x14ac:dyDescent="0.3">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x14ac:dyDescent="0.3">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x14ac:dyDescent="0.3">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x14ac:dyDescent="0.3">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x14ac:dyDescent="0.3">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x14ac:dyDescent="0.3">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x14ac:dyDescent="0.3">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x14ac:dyDescent="0.3">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x14ac:dyDescent="0.3">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x14ac:dyDescent="0.3">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x14ac:dyDescent="0.3">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x14ac:dyDescent="0.3">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x14ac:dyDescent="0.3">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x14ac:dyDescent="0.3">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x14ac:dyDescent="0.3">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x14ac:dyDescent="0.3">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x14ac:dyDescent="0.3">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x14ac:dyDescent="0.3">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x14ac:dyDescent="0.3">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x14ac:dyDescent="0.3">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x14ac:dyDescent="0.3">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x14ac:dyDescent="0.3">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x14ac:dyDescent="0.3">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x14ac:dyDescent="0.3">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x14ac:dyDescent="0.3">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x14ac:dyDescent="0.3">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x14ac:dyDescent="0.3">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x14ac:dyDescent="0.3">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x14ac:dyDescent="0.3">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x14ac:dyDescent="0.3">
      <c r="A9116" t="s">
        <v>18285</v>
      </c>
      <c r="B9116" s="171" t="s">
        <v>18286</v>
      </c>
      <c r="C9116" s="171" t="s">
        <v>89</v>
      </c>
      <c r="D9116" s="171" t="s">
        <v>80</v>
      </c>
      <c r="E9116" s="11">
        <v>43435</v>
      </c>
      <c r="F9116">
        <v>0</v>
      </c>
      <c r="G9116">
        <v>0</v>
      </c>
      <c r="I9116">
        <v>0</v>
      </c>
      <c r="J9116">
        <v>0</v>
      </c>
      <c r="L9116">
        <v>0</v>
      </c>
      <c r="N9116">
        <v>0</v>
      </c>
      <c r="P9116">
        <v>0</v>
      </c>
      <c r="Q9116">
        <v>0</v>
      </c>
      <c r="S9116">
        <v>0</v>
      </c>
    </row>
    <row r="9117" spans="1:20" x14ac:dyDescent="0.3">
      <c r="A9117" t="s">
        <v>18287</v>
      </c>
      <c r="B9117" s="171" t="s">
        <v>18288</v>
      </c>
      <c r="C9117" s="171" t="s">
        <v>92</v>
      </c>
      <c r="D9117" s="171" t="s">
        <v>80</v>
      </c>
      <c r="E9117" s="11">
        <v>43435</v>
      </c>
      <c r="F9117">
        <v>0</v>
      </c>
      <c r="G9117">
        <v>0</v>
      </c>
      <c r="I9117">
        <v>0</v>
      </c>
      <c r="J9117">
        <v>0</v>
      </c>
      <c r="L9117">
        <v>0</v>
      </c>
      <c r="N9117">
        <v>0</v>
      </c>
      <c r="P9117">
        <v>0</v>
      </c>
      <c r="Q9117">
        <v>0</v>
      </c>
      <c r="S9117">
        <v>0</v>
      </c>
    </row>
    <row r="9118" spans="1:20" x14ac:dyDescent="0.3">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x14ac:dyDescent="0.3">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x14ac:dyDescent="0.3">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x14ac:dyDescent="0.3">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x14ac:dyDescent="0.3">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x14ac:dyDescent="0.3">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x14ac:dyDescent="0.3">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x14ac:dyDescent="0.3">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x14ac:dyDescent="0.3">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x14ac:dyDescent="0.3">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x14ac:dyDescent="0.3">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x14ac:dyDescent="0.3">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x14ac:dyDescent="0.3">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x14ac:dyDescent="0.3">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x14ac:dyDescent="0.3">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x14ac:dyDescent="0.3">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x14ac:dyDescent="0.3">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x14ac:dyDescent="0.3">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x14ac:dyDescent="0.3">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x14ac:dyDescent="0.3">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x14ac:dyDescent="0.3">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x14ac:dyDescent="0.3">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x14ac:dyDescent="0.3">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x14ac:dyDescent="0.3">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x14ac:dyDescent="0.3">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x14ac:dyDescent="0.3">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x14ac:dyDescent="0.3">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x14ac:dyDescent="0.3">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x14ac:dyDescent="0.3">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x14ac:dyDescent="0.3">
      <c r="A9148" t="s">
        <v>18349</v>
      </c>
      <c r="B9148" s="171" t="s">
        <v>18350</v>
      </c>
      <c r="C9148" s="171" t="s">
        <v>119</v>
      </c>
      <c r="D9148" s="171" t="s">
        <v>4</v>
      </c>
      <c r="E9148" s="11">
        <v>43435</v>
      </c>
      <c r="F9148">
        <v>0</v>
      </c>
      <c r="G9148">
        <v>0</v>
      </c>
      <c r="I9148">
        <v>0</v>
      </c>
      <c r="J9148">
        <v>0</v>
      </c>
      <c r="L9148">
        <v>0</v>
      </c>
      <c r="N9148">
        <v>0</v>
      </c>
      <c r="P9148">
        <v>0</v>
      </c>
      <c r="Q9148">
        <v>0</v>
      </c>
      <c r="S9148">
        <v>0</v>
      </c>
    </row>
    <row r="9149" spans="1:20" x14ac:dyDescent="0.3">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x14ac:dyDescent="0.3">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x14ac:dyDescent="0.3">
      <c r="A9151" t="s">
        <v>18355</v>
      </c>
      <c r="B9151" s="171" t="s">
        <v>18356</v>
      </c>
      <c r="C9151" s="171" t="s">
        <v>128</v>
      </c>
      <c r="D9151" s="171" t="s">
        <v>4</v>
      </c>
      <c r="E9151" s="11">
        <v>43435</v>
      </c>
      <c r="F9151">
        <v>0</v>
      </c>
      <c r="G9151">
        <v>0</v>
      </c>
      <c r="I9151">
        <v>0</v>
      </c>
      <c r="J9151">
        <v>0</v>
      </c>
      <c r="L9151">
        <v>0</v>
      </c>
      <c r="N9151">
        <v>0</v>
      </c>
      <c r="P9151">
        <v>0</v>
      </c>
      <c r="Q9151">
        <v>0</v>
      </c>
      <c r="S9151">
        <v>0</v>
      </c>
    </row>
    <row r="9152" spans="1:20" x14ac:dyDescent="0.3">
      <c r="A9152" t="s">
        <v>18357</v>
      </c>
      <c r="B9152" s="171" t="s">
        <v>18358</v>
      </c>
      <c r="C9152" s="171" t="s">
        <v>131</v>
      </c>
      <c r="D9152" s="171" t="s">
        <v>4</v>
      </c>
      <c r="E9152" s="11">
        <v>43435</v>
      </c>
      <c r="F9152">
        <v>0</v>
      </c>
      <c r="G9152">
        <v>0</v>
      </c>
      <c r="I9152">
        <v>0</v>
      </c>
      <c r="J9152">
        <v>0</v>
      </c>
      <c r="L9152">
        <v>0</v>
      </c>
      <c r="N9152">
        <v>0</v>
      </c>
      <c r="P9152">
        <v>0</v>
      </c>
      <c r="Q9152">
        <v>0</v>
      </c>
      <c r="S9152">
        <v>0</v>
      </c>
    </row>
    <row r="9153" spans="1:20" x14ac:dyDescent="0.3">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x14ac:dyDescent="0.3">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x14ac:dyDescent="0.3">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x14ac:dyDescent="0.3">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x14ac:dyDescent="0.3">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x14ac:dyDescent="0.3">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x14ac:dyDescent="0.3">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x14ac:dyDescent="0.3">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x14ac:dyDescent="0.3">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x14ac:dyDescent="0.3">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x14ac:dyDescent="0.3">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x14ac:dyDescent="0.3">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x14ac:dyDescent="0.3">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x14ac:dyDescent="0.3">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x14ac:dyDescent="0.3">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x14ac:dyDescent="0.3">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x14ac:dyDescent="0.3">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x14ac:dyDescent="0.3">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x14ac:dyDescent="0.3">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x14ac:dyDescent="0.3">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x14ac:dyDescent="0.3">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x14ac:dyDescent="0.3">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x14ac:dyDescent="0.3">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x14ac:dyDescent="0.3">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x14ac:dyDescent="0.3">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x14ac:dyDescent="0.3">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x14ac:dyDescent="0.3">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x14ac:dyDescent="0.3">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x14ac:dyDescent="0.3">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x14ac:dyDescent="0.3">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x14ac:dyDescent="0.3">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x14ac:dyDescent="0.3">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x14ac:dyDescent="0.3">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x14ac:dyDescent="0.3">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x14ac:dyDescent="0.3">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x14ac:dyDescent="0.3">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x14ac:dyDescent="0.3">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x14ac:dyDescent="0.3">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x14ac:dyDescent="0.3">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x14ac:dyDescent="0.3">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x14ac:dyDescent="0.3">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x14ac:dyDescent="0.3">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x14ac:dyDescent="0.3">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x14ac:dyDescent="0.3">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x14ac:dyDescent="0.3">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x14ac:dyDescent="0.3">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x14ac:dyDescent="0.3">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x14ac:dyDescent="0.3">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x14ac:dyDescent="0.3">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x14ac:dyDescent="0.3">
      <c r="A9202" t="s">
        <v>18457</v>
      </c>
      <c r="B9202" s="171" t="s">
        <v>18458</v>
      </c>
      <c r="C9202" s="171" t="s">
        <v>76</v>
      </c>
      <c r="D9202" s="171" t="s">
        <v>4</v>
      </c>
      <c r="E9202" s="11">
        <v>43466</v>
      </c>
      <c r="F9202">
        <v>0</v>
      </c>
      <c r="G9202">
        <v>0</v>
      </c>
      <c r="I9202">
        <v>0</v>
      </c>
      <c r="J9202">
        <v>0</v>
      </c>
      <c r="L9202">
        <v>0</v>
      </c>
      <c r="N9202">
        <v>0</v>
      </c>
      <c r="P9202">
        <v>0</v>
      </c>
      <c r="Q9202">
        <v>0</v>
      </c>
      <c r="S9202">
        <v>0</v>
      </c>
    </row>
    <row r="9203" spans="1:20" x14ac:dyDescent="0.3">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x14ac:dyDescent="0.3">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x14ac:dyDescent="0.3">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x14ac:dyDescent="0.3">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x14ac:dyDescent="0.3">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x14ac:dyDescent="0.3">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x14ac:dyDescent="0.3">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x14ac:dyDescent="0.3">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x14ac:dyDescent="0.3">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x14ac:dyDescent="0.3">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x14ac:dyDescent="0.3">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x14ac:dyDescent="0.3">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x14ac:dyDescent="0.3">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x14ac:dyDescent="0.3">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x14ac:dyDescent="0.3">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x14ac:dyDescent="0.3">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x14ac:dyDescent="0.3">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x14ac:dyDescent="0.3">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x14ac:dyDescent="0.3">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x14ac:dyDescent="0.3">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x14ac:dyDescent="0.3">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x14ac:dyDescent="0.3">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x14ac:dyDescent="0.3">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x14ac:dyDescent="0.3">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x14ac:dyDescent="0.3">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x14ac:dyDescent="0.3">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x14ac:dyDescent="0.3">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x14ac:dyDescent="0.3">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x14ac:dyDescent="0.3">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x14ac:dyDescent="0.3">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x14ac:dyDescent="0.3">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x14ac:dyDescent="0.3">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x14ac:dyDescent="0.3">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x14ac:dyDescent="0.3">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x14ac:dyDescent="0.3">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x14ac:dyDescent="0.3">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x14ac:dyDescent="0.3">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x14ac:dyDescent="0.3">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x14ac:dyDescent="0.3">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x14ac:dyDescent="0.3">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x14ac:dyDescent="0.3">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x14ac:dyDescent="0.3">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x14ac:dyDescent="0.3">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x14ac:dyDescent="0.3">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x14ac:dyDescent="0.3">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x14ac:dyDescent="0.3">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x14ac:dyDescent="0.3">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x14ac:dyDescent="0.3">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x14ac:dyDescent="0.3">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x14ac:dyDescent="0.3">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x14ac:dyDescent="0.3">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x14ac:dyDescent="0.3">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x14ac:dyDescent="0.3">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x14ac:dyDescent="0.3">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x14ac:dyDescent="0.3">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x14ac:dyDescent="0.3">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x14ac:dyDescent="0.3">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x14ac:dyDescent="0.3">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x14ac:dyDescent="0.3">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x14ac:dyDescent="0.3">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x14ac:dyDescent="0.3">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x14ac:dyDescent="0.3">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x14ac:dyDescent="0.3">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x14ac:dyDescent="0.3">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x14ac:dyDescent="0.3">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x14ac:dyDescent="0.3">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x14ac:dyDescent="0.3">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x14ac:dyDescent="0.3">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x14ac:dyDescent="0.3">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x14ac:dyDescent="0.3">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x14ac:dyDescent="0.3">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x14ac:dyDescent="0.3">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x14ac:dyDescent="0.3">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x14ac:dyDescent="0.3">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x14ac:dyDescent="0.3">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x14ac:dyDescent="0.3">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x14ac:dyDescent="0.3">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x14ac:dyDescent="0.3">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x14ac:dyDescent="0.3">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x14ac:dyDescent="0.3">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x14ac:dyDescent="0.3">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x14ac:dyDescent="0.3">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x14ac:dyDescent="0.3">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x14ac:dyDescent="0.3">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x14ac:dyDescent="0.3">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x14ac:dyDescent="0.3">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x14ac:dyDescent="0.3">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x14ac:dyDescent="0.3">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x14ac:dyDescent="0.3">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x14ac:dyDescent="0.3">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x14ac:dyDescent="0.3">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x14ac:dyDescent="0.3">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x14ac:dyDescent="0.3">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x14ac:dyDescent="0.3">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x14ac:dyDescent="0.3">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x14ac:dyDescent="0.3">
      <c r="A9299" t="s">
        <v>18651</v>
      </c>
      <c r="B9299" s="171" t="s">
        <v>18652</v>
      </c>
      <c r="C9299" s="171" t="s">
        <v>76</v>
      </c>
      <c r="D9299" s="171" t="s">
        <v>80</v>
      </c>
      <c r="E9299" s="11">
        <v>43466</v>
      </c>
      <c r="F9299">
        <v>0</v>
      </c>
      <c r="G9299">
        <v>0</v>
      </c>
      <c r="I9299">
        <v>0</v>
      </c>
      <c r="J9299">
        <v>0</v>
      </c>
      <c r="L9299">
        <v>0</v>
      </c>
      <c r="N9299">
        <v>0</v>
      </c>
      <c r="P9299">
        <v>0</v>
      </c>
      <c r="Q9299">
        <v>0</v>
      </c>
      <c r="S9299">
        <v>0</v>
      </c>
    </row>
    <row r="9300" spans="1:20" x14ac:dyDescent="0.3">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x14ac:dyDescent="0.3">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x14ac:dyDescent="0.3">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x14ac:dyDescent="0.3">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x14ac:dyDescent="0.3">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x14ac:dyDescent="0.3">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x14ac:dyDescent="0.3">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x14ac:dyDescent="0.3">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x14ac:dyDescent="0.3">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x14ac:dyDescent="0.3">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x14ac:dyDescent="0.3">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x14ac:dyDescent="0.3">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x14ac:dyDescent="0.3">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x14ac:dyDescent="0.3">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x14ac:dyDescent="0.3">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x14ac:dyDescent="0.3">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x14ac:dyDescent="0.3">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x14ac:dyDescent="0.3">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x14ac:dyDescent="0.3">
      <c r="A9318" t="s">
        <v>18689</v>
      </c>
      <c r="B9318" s="171" t="s">
        <v>18690</v>
      </c>
      <c r="C9318" s="171" t="s">
        <v>119</v>
      </c>
      <c r="D9318" s="171" t="s">
        <v>4</v>
      </c>
      <c r="E9318" s="11">
        <v>43466</v>
      </c>
      <c r="F9318">
        <v>0</v>
      </c>
      <c r="G9318">
        <v>0</v>
      </c>
      <c r="I9318">
        <v>0</v>
      </c>
      <c r="J9318">
        <v>0</v>
      </c>
      <c r="L9318">
        <v>0</v>
      </c>
      <c r="N9318">
        <v>0</v>
      </c>
      <c r="P9318">
        <v>0</v>
      </c>
      <c r="Q9318">
        <v>0</v>
      </c>
      <c r="S9318">
        <v>0</v>
      </c>
    </row>
    <row r="9319" spans="1:20" x14ac:dyDescent="0.3">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x14ac:dyDescent="0.3">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x14ac:dyDescent="0.3">
      <c r="A9321" t="s">
        <v>18695</v>
      </c>
      <c r="B9321" s="171" t="s">
        <v>18696</v>
      </c>
      <c r="C9321" s="171" t="s">
        <v>128</v>
      </c>
      <c r="D9321" s="171" t="s">
        <v>4</v>
      </c>
      <c r="E9321" s="11">
        <v>43466</v>
      </c>
      <c r="F9321">
        <v>0</v>
      </c>
      <c r="G9321">
        <v>0</v>
      </c>
      <c r="I9321">
        <v>0</v>
      </c>
      <c r="J9321">
        <v>0</v>
      </c>
      <c r="L9321">
        <v>0</v>
      </c>
      <c r="N9321">
        <v>0</v>
      </c>
      <c r="P9321">
        <v>0</v>
      </c>
      <c r="Q9321">
        <v>0</v>
      </c>
      <c r="S9321">
        <v>0</v>
      </c>
    </row>
    <row r="9322" spans="1:20" x14ac:dyDescent="0.3">
      <c r="A9322" t="s">
        <v>18697</v>
      </c>
      <c r="B9322" s="171" t="s">
        <v>18698</v>
      </c>
      <c r="C9322" s="171" t="s">
        <v>131</v>
      </c>
      <c r="D9322" s="171" t="s">
        <v>4</v>
      </c>
      <c r="E9322" s="11">
        <v>43466</v>
      </c>
      <c r="F9322">
        <v>0</v>
      </c>
      <c r="G9322">
        <v>0</v>
      </c>
      <c r="I9322">
        <v>0</v>
      </c>
      <c r="J9322">
        <v>0</v>
      </c>
      <c r="L9322">
        <v>0</v>
      </c>
      <c r="N9322">
        <v>0</v>
      </c>
      <c r="P9322">
        <v>0</v>
      </c>
      <c r="Q9322">
        <v>0</v>
      </c>
      <c r="S9322">
        <v>0</v>
      </c>
    </row>
    <row r="9323" spans="1:20" x14ac:dyDescent="0.3">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x14ac:dyDescent="0.3">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x14ac:dyDescent="0.3">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x14ac:dyDescent="0.3">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x14ac:dyDescent="0.3">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x14ac:dyDescent="0.3">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x14ac:dyDescent="0.3">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x14ac:dyDescent="0.3">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x14ac:dyDescent="0.3">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x14ac:dyDescent="0.3">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x14ac:dyDescent="0.3">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x14ac:dyDescent="0.3">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x14ac:dyDescent="0.3">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x14ac:dyDescent="0.3">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x14ac:dyDescent="0.3">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x14ac:dyDescent="0.3">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x14ac:dyDescent="0.3">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x14ac:dyDescent="0.3">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x14ac:dyDescent="0.3">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x14ac:dyDescent="0.3">
      <c r="A9342" t="s">
        <v>18737</v>
      </c>
      <c r="B9342" s="171" t="s">
        <v>18738</v>
      </c>
      <c r="C9342" s="171" t="s">
        <v>209</v>
      </c>
      <c r="D9342" s="171" t="s">
        <v>4</v>
      </c>
      <c r="E9342" s="11">
        <v>43466</v>
      </c>
      <c r="F9342">
        <v>0</v>
      </c>
      <c r="G9342">
        <v>0</v>
      </c>
      <c r="I9342">
        <v>0</v>
      </c>
      <c r="J9342">
        <v>0</v>
      </c>
      <c r="L9342">
        <v>0</v>
      </c>
      <c r="N9342">
        <v>0</v>
      </c>
      <c r="P9342">
        <v>0</v>
      </c>
      <c r="Q9342">
        <v>0</v>
      </c>
      <c r="S9342">
        <v>0</v>
      </c>
    </row>
    <row r="9343" spans="1:19" x14ac:dyDescent="0.3">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x14ac:dyDescent="0.3">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x14ac:dyDescent="0.3">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x14ac:dyDescent="0.3">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x14ac:dyDescent="0.3">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x14ac:dyDescent="0.3">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x14ac:dyDescent="0.3">
      <c r="A9349" t="s">
        <v>18751</v>
      </c>
      <c r="B9349" s="171" t="s">
        <v>18752</v>
      </c>
      <c r="C9349" s="171" t="s">
        <v>236</v>
      </c>
      <c r="D9349" s="171" t="s">
        <v>4</v>
      </c>
      <c r="E9349" s="11">
        <v>43466</v>
      </c>
      <c r="F9349">
        <v>0</v>
      </c>
      <c r="G9349">
        <v>0</v>
      </c>
      <c r="I9349">
        <v>0</v>
      </c>
      <c r="J9349">
        <v>0</v>
      </c>
      <c r="L9349">
        <v>0</v>
      </c>
      <c r="N9349">
        <v>0</v>
      </c>
      <c r="P9349">
        <v>0</v>
      </c>
      <c r="Q9349">
        <v>0</v>
      </c>
      <c r="S9349">
        <v>0</v>
      </c>
    </row>
    <row r="9350" spans="1:19" x14ac:dyDescent="0.3">
      <c r="A9350" t="s">
        <v>18753</v>
      </c>
      <c r="B9350" s="171" t="s">
        <v>18754</v>
      </c>
      <c r="C9350" s="171" t="s">
        <v>239</v>
      </c>
      <c r="D9350" s="171" t="s">
        <v>4</v>
      </c>
      <c r="E9350" s="11">
        <v>43466</v>
      </c>
      <c r="F9350">
        <v>0</v>
      </c>
      <c r="G9350">
        <v>0</v>
      </c>
      <c r="I9350">
        <v>0</v>
      </c>
      <c r="J9350">
        <v>0</v>
      </c>
      <c r="L9350">
        <v>0</v>
      </c>
      <c r="N9350">
        <v>0</v>
      </c>
      <c r="P9350">
        <v>0</v>
      </c>
      <c r="Q9350">
        <v>0</v>
      </c>
      <c r="S9350">
        <v>0</v>
      </c>
    </row>
    <row r="9351" spans="1:19" x14ac:dyDescent="0.3">
      <c r="A9351" t="s">
        <v>18755</v>
      </c>
      <c r="B9351" s="171" t="s">
        <v>18756</v>
      </c>
      <c r="C9351" s="171" t="s">
        <v>143</v>
      </c>
      <c r="D9351" s="171" t="s">
        <v>4</v>
      </c>
      <c r="E9351" s="11">
        <v>43466</v>
      </c>
      <c r="F9351">
        <v>0</v>
      </c>
      <c r="G9351">
        <v>0</v>
      </c>
      <c r="I9351">
        <v>0</v>
      </c>
      <c r="J9351">
        <v>0</v>
      </c>
      <c r="L9351">
        <v>0</v>
      </c>
      <c r="N9351">
        <v>0</v>
      </c>
      <c r="P9351">
        <v>0</v>
      </c>
      <c r="Q9351">
        <v>0</v>
      </c>
      <c r="S9351">
        <v>0</v>
      </c>
    </row>
    <row r="9352" spans="1:19" x14ac:dyDescent="0.3">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x14ac:dyDescent="0.3">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x14ac:dyDescent="0.3">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x14ac:dyDescent="0.3">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x14ac:dyDescent="0.3">
      <c r="A9356" t="s">
        <v>18765</v>
      </c>
      <c r="B9356" s="171" t="s">
        <v>18766</v>
      </c>
      <c r="C9356" s="171" t="s">
        <v>158</v>
      </c>
      <c r="D9356" s="171" t="s">
        <v>4</v>
      </c>
      <c r="E9356" s="11">
        <v>43466</v>
      </c>
      <c r="F9356">
        <v>0</v>
      </c>
      <c r="G9356">
        <v>0</v>
      </c>
      <c r="I9356">
        <v>0</v>
      </c>
      <c r="J9356">
        <v>0</v>
      </c>
      <c r="L9356">
        <v>0</v>
      </c>
      <c r="N9356">
        <v>0</v>
      </c>
      <c r="P9356">
        <v>0</v>
      </c>
      <c r="Q9356">
        <v>0</v>
      </c>
      <c r="S9356">
        <v>0</v>
      </c>
    </row>
    <row r="9357" spans="1:19" x14ac:dyDescent="0.3">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x14ac:dyDescent="0.3">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x14ac:dyDescent="0.3">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x14ac:dyDescent="0.3">
      <c r="A9360" t="s">
        <v>18773</v>
      </c>
      <c r="B9360" s="171" t="s">
        <v>18774</v>
      </c>
      <c r="C9360" s="171" t="s">
        <v>227</v>
      </c>
      <c r="D9360" s="171" t="s">
        <v>4</v>
      </c>
      <c r="E9360" s="11">
        <v>43466</v>
      </c>
      <c r="F9360">
        <v>0</v>
      </c>
      <c r="G9360">
        <v>0</v>
      </c>
      <c r="I9360">
        <v>0</v>
      </c>
      <c r="J9360">
        <v>0</v>
      </c>
      <c r="L9360">
        <v>0</v>
      </c>
      <c r="N9360">
        <v>0</v>
      </c>
      <c r="P9360">
        <v>0</v>
      </c>
      <c r="Q9360">
        <v>0</v>
      </c>
      <c r="S9360">
        <v>0</v>
      </c>
    </row>
    <row r="9361" spans="1:19" x14ac:dyDescent="0.3">
      <c r="A9361" t="s">
        <v>18775</v>
      </c>
      <c r="B9361" s="171" t="s">
        <v>18776</v>
      </c>
      <c r="C9361" s="171" t="s">
        <v>230</v>
      </c>
      <c r="D9361" s="171" t="s">
        <v>4</v>
      </c>
      <c r="E9361" s="11">
        <v>43466</v>
      </c>
      <c r="F9361">
        <v>0</v>
      </c>
      <c r="G9361">
        <v>0</v>
      </c>
      <c r="I9361">
        <v>0</v>
      </c>
      <c r="J9361">
        <v>0</v>
      </c>
      <c r="L9361">
        <v>0</v>
      </c>
      <c r="N9361">
        <v>0</v>
      </c>
      <c r="P9361">
        <v>0</v>
      </c>
      <c r="Q9361">
        <v>0</v>
      </c>
      <c r="S9361">
        <v>0</v>
      </c>
    </row>
    <row r="9362" spans="1:19" x14ac:dyDescent="0.3">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x14ac:dyDescent="0.3">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x14ac:dyDescent="0.3">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x14ac:dyDescent="0.3">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x14ac:dyDescent="0.3">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x14ac:dyDescent="0.3">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x14ac:dyDescent="0.3">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x14ac:dyDescent="0.3">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x14ac:dyDescent="0.3">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x14ac:dyDescent="0.3">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x14ac:dyDescent="0.3">
      <c r="A9372" t="s">
        <v>18797</v>
      </c>
      <c r="B9372" s="171" t="s">
        <v>18798</v>
      </c>
      <c r="C9372" s="171" t="s">
        <v>76</v>
      </c>
      <c r="D9372" s="171" t="s">
        <v>4</v>
      </c>
      <c r="E9372" s="11">
        <v>43497</v>
      </c>
      <c r="F9372">
        <v>0</v>
      </c>
      <c r="G9372">
        <v>0</v>
      </c>
      <c r="I9372">
        <v>0</v>
      </c>
      <c r="J9372">
        <v>0</v>
      </c>
      <c r="L9372">
        <v>0</v>
      </c>
      <c r="N9372">
        <v>0</v>
      </c>
      <c r="P9372">
        <v>0</v>
      </c>
      <c r="Q9372">
        <v>0</v>
      </c>
      <c r="S9372">
        <v>0</v>
      </c>
    </row>
    <row r="9373" spans="1:19" x14ac:dyDescent="0.3">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x14ac:dyDescent="0.3">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x14ac:dyDescent="0.3">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x14ac:dyDescent="0.3">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x14ac:dyDescent="0.3">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x14ac:dyDescent="0.3">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x14ac:dyDescent="0.3">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x14ac:dyDescent="0.3">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x14ac:dyDescent="0.3">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x14ac:dyDescent="0.3">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x14ac:dyDescent="0.3">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x14ac:dyDescent="0.3">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x14ac:dyDescent="0.3">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x14ac:dyDescent="0.3">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x14ac:dyDescent="0.3">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x14ac:dyDescent="0.3">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x14ac:dyDescent="0.3">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x14ac:dyDescent="0.3">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x14ac:dyDescent="0.3">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x14ac:dyDescent="0.3">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x14ac:dyDescent="0.3">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x14ac:dyDescent="0.3">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x14ac:dyDescent="0.3">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x14ac:dyDescent="0.3">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x14ac:dyDescent="0.3">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x14ac:dyDescent="0.3">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x14ac:dyDescent="0.3">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x14ac:dyDescent="0.3">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x14ac:dyDescent="0.3">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x14ac:dyDescent="0.3">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x14ac:dyDescent="0.3">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x14ac:dyDescent="0.3">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x14ac:dyDescent="0.3">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x14ac:dyDescent="0.3">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x14ac:dyDescent="0.3">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x14ac:dyDescent="0.3">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x14ac:dyDescent="0.3">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x14ac:dyDescent="0.3">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x14ac:dyDescent="0.3">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x14ac:dyDescent="0.3">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x14ac:dyDescent="0.3">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x14ac:dyDescent="0.3">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x14ac:dyDescent="0.3">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x14ac:dyDescent="0.3">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x14ac:dyDescent="0.3">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x14ac:dyDescent="0.3">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x14ac:dyDescent="0.3">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x14ac:dyDescent="0.3">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x14ac:dyDescent="0.3">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x14ac:dyDescent="0.3">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x14ac:dyDescent="0.3">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x14ac:dyDescent="0.3">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x14ac:dyDescent="0.3">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x14ac:dyDescent="0.3">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x14ac:dyDescent="0.3">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x14ac:dyDescent="0.3">
      <c r="A9428" t="s">
        <v>18909</v>
      </c>
      <c r="B9428" s="171" t="s">
        <v>18910</v>
      </c>
      <c r="C9428" s="171" t="s">
        <v>73</v>
      </c>
      <c r="D9428" s="171" t="s">
        <v>4</v>
      </c>
      <c r="E9428" s="11">
        <v>43497</v>
      </c>
      <c r="F9428">
        <v>0</v>
      </c>
      <c r="G9428">
        <v>0</v>
      </c>
      <c r="I9428">
        <v>0</v>
      </c>
      <c r="J9428">
        <v>0</v>
      </c>
      <c r="L9428">
        <v>0</v>
      </c>
      <c r="N9428">
        <v>0</v>
      </c>
      <c r="P9428">
        <v>0</v>
      </c>
      <c r="Q9428">
        <v>0</v>
      </c>
      <c r="S9428">
        <v>0</v>
      </c>
    </row>
    <row r="9429" spans="1:20" x14ac:dyDescent="0.3">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x14ac:dyDescent="0.3">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x14ac:dyDescent="0.3">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x14ac:dyDescent="0.3">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x14ac:dyDescent="0.3">
      <c r="A9433" t="s">
        <v>18919</v>
      </c>
      <c r="B9433" s="171" t="s">
        <v>18920</v>
      </c>
      <c r="C9433" s="171" t="s">
        <v>122</v>
      </c>
      <c r="D9433" s="171" t="s">
        <v>4</v>
      </c>
      <c r="E9433" s="11">
        <v>43497</v>
      </c>
      <c r="F9433">
        <v>0</v>
      </c>
      <c r="G9433">
        <v>0</v>
      </c>
      <c r="I9433">
        <v>0</v>
      </c>
      <c r="J9433">
        <v>0</v>
      </c>
      <c r="L9433">
        <v>0</v>
      </c>
      <c r="N9433">
        <v>0</v>
      </c>
      <c r="P9433">
        <v>0</v>
      </c>
      <c r="Q9433">
        <v>0</v>
      </c>
      <c r="S9433">
        <v>0</v>
      </c>
    </row>
    <row r="9434" spans="1:20" x14ac:dyDescent="0.3">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x14ac:dyDescent="0.3">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x14ac:dyDescent="0.3">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x14ac:dyDescent="0.3">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x14ac:dyDescent="0.3">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x14ac:dyDescent="0.3">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x14ac:dyDescent="0.3">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x14ac:dyDescent="0.3">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x14ac:dyDescent="0.3">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x14ac:dyDescent="0.3">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x14ac:dyDescent="0.3">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x14ac:dyDescent="0.3">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x14ac:dyDescent="0.3">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x14ac:dyDescent="0.3">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x14ac:dyDescent="0.3">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x14ac:dyDescent="0.3">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x14ac:dyDescent="0.3">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x14ac:dyDescent="0.3">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x14ac:dyDescent="0.3">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x14ac:dyDescent="0.3">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x14ac:dyDescent="0.3">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x14ac:dyDescent="0.3">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x14ac:dyDescent="0.3">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x14ac:dyDescent="0.3">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x14ac:dyDescent="0.3">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x14ac:dyDescent="0.3">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x14ac:dyDescent="0.3">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x14ac:dyDescent="0.3">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x14ac:dyDescent="0.3">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x14ac:dyDescent="0.3">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x14ac:dyDescent="0.3">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x14ac:dyDescent="0.3">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x14ac:dyDescent="0.3">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x14ac:dyDescent="0.3">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x14ac:dyDescent="0.3">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x14ac:dyDescent="0.3">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x14ac:dyDescent="0.3">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x14ac:dyDescent="0.3">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x14ac:dyDescent="0.3">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x14ac:dyDescent="0.3">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x14ac:dyDescent="0.3">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x14ac:dyDescent="0.3">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x14ac:dyDescent="0.3">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x14ac:dyDescent="0.3">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x14ac:dyDescent="0.3">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x14ac:dyDescent="0.3">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x14ac:dyDescent="0.3">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x14ac:dyDescent="0.3">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x14ac:dyDescent="0.3">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x14ac:dyDescent="0.3">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x14ac:dyDescent="0.3">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x14ac:dyDescent="0.3">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x14ac:dyDescent="0.3">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x14ac:dyDescent="0.3">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x14ac:dyDescent="0.3">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x14ac:dyDescent="0.3">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x14ac:dyDescent="0.3">
      <c r="A9491" t="s">
        <v>19035</v>
      </c>
      <c r="B9491" s="171" t="s">
        <v>19036</v>
      </c>
      <c r="C9491" s="171" t="s">
        <v>128</v>
      </c>
      <c r="D9491" s="171" t="s">
        <v>4</v>
      </c>
      <c r="E9491" s="11">
        <v>43497</v>
      </c>
      <c r="F9491">
        <v>0</v>
      </c>
      <c r="G9491">
        <v>0</v>
      </c>
      <c r="I9491">
        <v>0</v>
      </c>
      <c r="J9491">
        <v>0</v>
      </c>
      <c r="L9491">
        <v>0</v>
      </c>
      <c r="N9491">
        <v>0</v>
      </c>
      <c r="P9491">
        <v>0</v>
      </c>
      <c r="Q9491">
        <v>0</v>
      </c>
      <c r="S9491">
        <v>0</v>
      </c>
    </row>
    <row r="9492" spans="1:20" x14ac:dyDescent="0.3">
      <c r="A9492" t="s">
        <v>19037</v>
      </c>
      <c r="B9492" s="171" t="s">
        <v>19038</v>
      </c>
      <c r="C9492" s="171" t="s">
        <v>131</v>
      </c>
      <c r="D9492" s="171" t="s">
        <v>4</v>
      </c>
      <c r="E9492" s="11">
        <v>43497</v>
      </c>
      <c r="F9492">
        <v>0</v>
      </c>
      <c r="G9492">
        <v>0</v>
      </c>
      <c r="I9492">
        <v>0</v>
      </c>
      <c r="J9492">
        <v>0</v>
      </c>
      <c r="L9492">
        <v>0</v>
      </c>
      <c r="N9492">
        <v>0</v>
      </c>
      <c r="P9492">
        <v>0</v>
      </c>
      <c r="Q9492">
        <v>0</v>
      </c>
      <c r="S9492">
        <v>0</v>
      </c>
    </row>
    <row r="9493" spans="1:20" x14ac:dyDescent="0.3">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x14ac:dyDescent="0.3">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x14ac:dyDescent="0.3">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x14ac:dyDescent="0.3">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x14ac:dyDescent="0.3">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x14ac:dyDescent="0.3">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x14ac:dyDescent="0.3">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x14ac:dyDescent="0.3">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x14ac:dyDescent="0.3">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x14ac:dyDescent="0.3">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x14ac:dyDescent="0.3">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x14ac:dyDescent="0.3">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x14ac:dyDescent="0.3">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x14ac:dyDescent="0.3">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x14ac:dyDescent="0.3">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x14ac:dyDescent="0.3">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x14ac:dyDescent="0.3">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x14ac:dyDescent="0.3">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x14ac:dyDescent="0.3">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x14ac:dyDescent="0.3">
      <c r="A9512" t="s">
        <v>19077</v>
      </c>
      <c r="B9512" s="171" t="s">
        <v>19078</v>
      </c>
      <c r="C9512" s="171" t="s">
        <v>209</v>
      </c>
      <c r="D9512" s="171" t="s">
        <v>4</v>
      </c>
      <c r="E9512" s="11">
        <v>43497</v>
      </c>
      <c r="F9512">
        <v>0</v>
      </c>
      <c r="G9512">
        <v>0</v>
      </c>
      <c r="I9512">
        <v>0</v>
      </c>
      <c r="J9512">
        <v>0</v>
      </c>
      <c r="L9512">
        <v>0</v>
      </c>
      <c r="N9512">
        <v>0</v>
      </c>
      <c r="P9512">
        <v>0</v>
      </c>
      <c r="Q9512">
        <v>0</v>
      </c>
      <c r="S9512">
        <v>0</v>
      </c>
    </row>
    <row r="9513" spans="1:19" x14ac:dyDescent="0.3">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x14ac:dyDescent="0.3">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x14ac:dyDescent="0.3">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x14ac:dyDescent="0.3">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x14ac:dyDescent="0.3">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x14ac:dyDescent="0.3">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x14ac:dyDescent="0.3">
      <c r="A9519" t="s">
        <v>19091</v>
      </c>
      <c r="B9519" s="171" t="s">
        <v>19092</v>
      </c>
      <c r="C9519" s="171" t="s">
        <v>236</v>
      </c>
      <c r="D9519" s="171" t="s">
        <v>4</v>
      </c>
      <c r="E9519" s="11">
        <v>43497</v>
      </c>
      <c r="F9519">
        <v>0</v>
      </c>
      <c r="G9519">
        <v>0</v>
      </c>
      <c r="I9519">
        <v>0</v>
      </c>
      <c r="J9519">
        <v>0</v>
      </c>
      <c r="L9519">
        <v>0</v>
      </c>
      <c r="N9519">
        <v>0</v>
      </c>
      <c r="P9519">
        <v>0</v>
      </c>
      <c r="Q9519">
        <v>0</v>
      </c>
      <c r="S9519">
        <v>0</v>
      </c>
    </row>
    <row r="9520" spans="1:19" x14ac:dyDescent="0.3">
      <c r="A9520" t="s">
        <v>19093</v>
      </c>
      <c r="B9520" s="171" t="s">
        <v>19094</v>
      </c>
      <c r="C9520" s="171" t="s">
        <v>239</v>
      </c>
      <c r="D9520" s="171" t="s">
        <v>4</v>
      </c>
      <c r="E9520" s="11">
        <v>43497</v>
      </c>
      <c r="F9520">
        <v>0</v>
      </c>
      <c r="G9520">
        <v>0</v>
      </c>
      <c r="I9520">
        <v>0</v>
      </c>
      <c r="J9520">
        <v>0</v>
      </c>
      <c r="L9520">
        <v>0</v>
      </c>
      <c r="N9520">
        <v>0</v>
      </c>
      <c r="P9520">
        <v>0</v>
      </c>
      <c r="Q9520">
        <v>0</v>
      </c>
      <c r="S9520">
        <v>0</v>
      </c>
    </row>
    <row r="9521" spans="1:20" x14ac:dyDescent="0.3">
      <c r="A9521" t="s">
        <v>19095</v>
      </c>
      <c r="B9521" s="171" t="s">
        <v>19096</v>
      </c>
      <c r="C9521" s="171" t="s">
        <v>143</v>
      </c>
      <c r="D9521" s="171" t="s">
        <v>4</v>
      </c>
      <c r="E9521" s="11">
        <v>43497</v>
      </c>
      <c r="F9521">
        <v>0</v>
      </c>
      <c r="G9521">
        <v>0</v>
      </c>
      <c r="I9521">
        <v>0</v>
      </c>
      <c r="J9521">
        <v>0</v>
      </c>
      <c r="L9521">
        <v>0</v>
      </c>
      <c r="N9521">
        <v>0</v>
      </c>
      <c r="P9521">
        <v>0</v>
      </c>
      <c r="Q9521">
        <v>0</v>
      </c>
      <c r="S9521">
        <v>0</v>
      </c>
    </row>
    <row r="9522" spans="1:20" x14ac:dyDescent="0.3">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x14ac:dyDescent="0.3">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x14ac:dyDescent="0.3">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x14ac:dyDescent="0.3">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x14ac:dyDescent="0.3">
      <c r="A9526" t="s">
        <v>19105</v>
      </c>
      <c r="B9526" s="171" t="s">
        <v>19106</v>
      </c>
      <c r="C9526" s="171" t="s">
        <v>158</v>
      </c>
      <c r="D9526" s="171" t="s">
        <v>4</v>
      </c>
      <c r="E9526" s="11">
        <v>43497</v>
      </c>
      <c r="F9526">
        <v>0</v>
      </c>
      <c r="G9526">
        <v>0</v>
      </c>
      <c r="I9526">
        <v>0</v>
      </c>
      <c r="J9526">
        <v>0</v>
      </c>
      <c r="L9526">
        <v>0</v>
      </c>
      <c r="N9526">
        <v>0</v>
      </c>
      <c r="P9526">
        <v>0</v>
      </c>
      <c r="Q9526">
        <v>0</v>
      </c>
      <c r="S9526">
        <v>0</v>
      </c>
    </row>
    <row r="9527" spans="1:20" x14ac:dyDescent="0.3">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x14ac:dyDescent="0.3">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x14ac:dyDescent="0.3">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x14ac:dyDescent="0.3">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x14ac:dyDescent="0.3">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x14ac:dyDescent="0.3">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x14ac:dyDescent="0.3">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x14ac:dyDescent="0.3">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x14ac:dyDescent="0.3">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x14ac:dyDescent="0.3">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x14ac:dyDescent="0.3">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x14ac:dyDescent="0.3">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x14ac:dyDescent="0.3">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x14ac:dyDescent="0.3">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x14ac:dyDescent="0.3">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x14ac:dyDescent="0.3">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x14ac:dyDescent="0.3">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x14ac:dyDescent="0.3">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x14ac:dyDescent="0.3">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x14ac:dyDescent="0.3">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x14ac:dyDescent="0.3">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x14ac:dyDescent="0.3">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x14ac:dyDescent="0.3">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x14ac:dyDescent="0.3">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x14ac:dyDescent="0.3">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x14ac:dyDescent="0.3">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x14ac:dyDescent="0.3">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x14ac:dyDescent="0.3">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x14ac:dyDescent="0.3">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x14ac:dyDescent="0.3">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x14ac:dyDescent="0.3">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x14ac:dyDescent="0.3">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x14ac:dyDescent="0.3">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x14ac:dyDescent="0.3">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x14ac:dyDescent="0.3">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x14ac:dyDescent="0.3">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x14ac:dyDescent="0.3">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x14ac:dyDescent="0.3">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x14ac:dyDescent="0.3">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x14ac:dyDescent="0.3">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x14ac:dyDescent="0.3">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x14ac:dyDescent="0.3">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x14ac:dyDescent="0.3">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x14ac:dyDescent="0.3">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x14ac:dyDescent="0.3">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x14ac:dyDescent="0.3">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x14ac:dyDescent="0.3">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x14ac:dyDescent="0.3">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x14ac:dyDescent="0.3">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x14ac:dyDescent="0.3">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x14ac:dyDescent="0.3">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x14ac:dyDescent="0.3">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x14ac:dyDescent="0.3">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x14ac:dyDescent="0.3">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x14ac:dyDescent="0.3">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x14ac:dyDescent="0.3">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x14ac:dyDescent="0.3">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x14ac:dyDescent="0.3">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x14ac:dyDescent="0.3">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x14ac:dyDescent="0.3">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x14ac:dyDescent="0.3">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x14ac:dyDescent="0.3">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x14ac:dyDescent="0.3">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x14ac:dyDescent="0.3">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x14ac:dyDescent="0.3">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x14ac:dyDescent="0.3">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x14ac:dyDescent="0.3">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x14ac:dyDescent="0.3">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x14ac:dyDescent="0.3">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x14ac:dyDescent="0.3">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x14ac:dyDescent="0.3">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x14ac:dyDescent="0.3">
      <c r="A9598" t="s">
        <v>19249</v>
      </c>
      <c r="B9598" s="171" t="s">
        <v>19250</v>
      </c>
      <c r="C9598" s="171" t="s">
        <v>73</v>
      </c>
      <c r="D9598" s="171" t="s">
        <v>4</v>
      </c>
      <c r="E9598" s="11">
        <v>43525</v>
      </c>
      <c r="F9598">
        <v>0</v>
      </c>
      <c r="G9598">
        <v>0</v>
      </c>
      <c r="I9598">
        <v>0</v>
      </c>
      <c r="J9598">
        <v>0</v>
      </c>
      <c r="L9598">
        <v>0</v>
      </c>
      <c r="N9598">
        <v>0</v>
      </c>
      <c r="P9598">
        <v>0</v>
      </c>
      <c r="Q9598">
        <v>0</v>
      </c>
      <c r="S9598">
        <v>0</v>
      </c>
    </row>
    <row r="9599" spans="1:20" x14ac:dyDescent="0.3">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x14ac:dyDescent="0.3">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x14ac:dyDescent="0.3">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x14ac:dyDescent="0.3">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x14ac:dyDescent="0.3">
      <c r="A9603" t="s">
        <v>19259</v>
      </c>
      <c r="B9603" s="171" t="s">
        <v>19260</v>
      </c>
      <c r="C9603" s="171" t="s">
        <v>122</v>
      </c>
      <c r="D9603" s="171" t="s">
        <v>4</v>
      </c>
      <c r="E9603" s="11">
        <v>43525</v>
      </c>
      <c r="F9603">
        <v>0</v>
      </c>
      <c r="G9603">
        <v>0</v>
      </c>
      <c r="I9603">
        <v>0</v>
      </c>
      <c r="J9603">
        <v>0</v>
      </c>
      <c r="L9603">
        <v>0</v>
      </c>
      <c r="N9603">
        <v>0</v>
      </c>
      <c r="P9603">
        <v>0</v>
      </c>
      <c r="Q9603">
        <v>0</v>
      </c>
      <c r="S9603">
        <v>0</v>
      </c>
    </row>
    <row r="9604" spans="1:19" x14ac:dyDescent="0.3">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x14ac:dyDescent="0.3">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x14ac:dyDescent="0.3">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x14ac:dyDescent="0.3">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x14ac:dyDescent="0.3">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x14ac:dyDescent="0.3">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x14ac:dyDescent="0.3">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x14ac:dyDescent="0.3">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x14ac:dyDescent="0.3">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x14ac:dyDescent="0.3">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x14ac:dyDescent="0.3">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x14ac:dyDescent="0.3">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x14ac:dyDescent="0.3">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x14ac:dyDescent="0.3">
      <c r="A9617" t="s">
        <v>19287</v>
      </c>
      <c r="B9617" s="171" t="s">
        <v>19288</v>
      </c>
      <c r="C9617" s="171" t="s">
        <v>212</v>
      </c>
      <c r="D9617" s="171" t="s">
        <v>4</v>
      </c>
      <c r="E9617" s="11">
        <v>43525</v>
      </c>
      <c r="F9617">
        <v>0</v>
      </c>
      <c r="G9617">
        <v>0</v>
      </c>
      <c r="I9617">
        <v>0</v>
      </c>
      <c r="J9617">
        <v>0</v>
      </c>
      <c r="L9617">
        <v>0</v>
      </c>
      <c r="N9617">
        <v>0</v>
      </c>
      <c r="P9617">
        <v>0</v>
      </c>
      <c r="Q9617">
        <v>0</v>
      </c>
      <c r="S9617">
        <v>0</v>
      </c>
    </row>
    <row r="9618" spans="1:20" x14ac:dyDescent="0.3">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x14ac:dyDescent="0.3">
      <c r="A9619" t="s">
        <v>19291</v>
      </c>
      <c r="B9619" s="171" t="s">
        <v>19292</v>
      </c>
      <c r="C9619" s="171" t="s">
        <v>221</v>
      </c>
      <c r="D9619" s="171" t="s">
        <v>4</v>
      </c>
      <c r="E9619" s="11">
        <v>43525</v>
      </c>
      <c r="F9619">
        <v>0</v>
      </c>
      <c r="G9619">
        <v>0</v>
      </c>
      <c r="I9619">
        <v>0</v>
      </c>
      <c r="J9619">
        <v>0</v>
      </c>
      <c r="L9619">
        <v>0</v>
      </c>
      <c r="N9619">
        <v>0</v>
      </c>
      <c r="P9619">
        <v>0</v>
      </c>
      <c r="Q9619">
        <v>0</v>
      </c>
      <c r="S9619">
        <v>0</v>
      </c>
    </row>
    <row r="9620" spans="1:20" x14ac:dyDescent="0.3">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x14ac:dyDescent="0.3">
      <c r="A9621" t="s">
        <v>19295</v>
      </c>
      <c r="B9621" s="171" t="s">
        <v>19296</v>
      </c>
      <c r="C9621" s="171" t="s">
        <v>233</v>
      </c>
      <c r="D9621" s="171" t="s">
        <v>4</v>
      </c>
      <c r="E9621" s="11">
        <v>43525</v>
      </c>
      <c r="F9621">
        <v>0</v>
      </c>
      <c r="G9621">
        <v>0</v>
      </c>
      <c r="I9621">
        <v>0</v>
      </c>
      <c r="J9621">
        <v>0</v>
      </c>
      <c r="L9621">
        <v>0</v>
      </c>
      <c r="N9621">
        <v>0</v>
      </c>
      <c r="P9621">
        <v>0</v>
      </c>
      <c r="Q9621">
        <v>0</v>
      </c>
      <c r="S9621">
        <v>0</v>
      </c>
    </row>
    <row r="9622" spans="1:20" x14ac:dyDescent="0.3">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x14ac:dyDescent="0.3">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x14ac:dyDescent="0.3">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x14ac:dyDescent="0.3">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x14ac:dyDescent="0.3">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x14ac:dyDescent="0.3">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x14ac:dyDescent="0.3">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x14ac:dyDescent="0.3">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x14ac:dyDescent="0.3">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x14ac:dyDescent="0.3">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x14ac:dyDescent="0.3">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x14ac:dyDescent="0.3">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x14ac:dyDescent="0.3">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x14ac:dyDescent="0.3">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x14ac:dyDescent="0.3">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x14ac:dyDescent="0.3">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x14ac:dyDescent="0.3">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x14ac:dyDescent="0.3">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x14ac:dyDescent="0.3">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x14ac:dyDescent="0.3">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x14ac:dyDescent="0.3">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x14ac:dyDescent="0.3">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x14ac:dyDescent="0.3">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x14ac:dyDescent="0.3">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x14ac:dyDescent="0.3">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x14ac:dyDescent="0.3">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x14ac:dyDescent="0.3">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x14ac:dyDescent="0.3">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x14ac:dyDescent="0.3">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x14ac:dyDescent="0.3">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x14ac:dyDescent="0.3">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x14ac:dyDescent="0.3">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x14ac:dyDescent="0.3">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x14ac:dyDescent="0.3">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x14ac:dyDescent="0.3">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x14ac:dyDescent="0.3">
      <c r="A9658" t="s">
        <v>19369</v>
      </c>
      <c r="B9658" s="171" t="s">
        <v>19370</v>
      </c>
      <c r="C9658" s="171" t="s">
        <v>119</v>
      </c>
      <c r="D9658" s="171" t="s">
        <v>4</v>
      </c>
      <c r="E9658" s="11">
        <v>43525</v>
      </c>
      <c r="F9658">
        <v>0</v>
      </c>
      <c r="G9658">
        <v>0</v>
      </c>
      <c r="I9658">
        <v>0</v>
      </c>
      <c r="J9658">
        <v>0</v>
      </c>
      <c r="L9658">
        <v>0</v>
      </c>
      <c r="N9658">
        <v>0</v>
      </c>
      <c r="P9658">
        <v>0</v>
      </c>
      <c r="Q9658">
        <v>0</v>
      </c>
      <c r="S9658">
        <v>0</v>
      </c>
    </row>
    <row r="9659" spans="1:20" x14ac:dyDescent="0.3">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x14ac:dyDescent="0.3">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x14ac:dyDescent="0.3">
      <c r="A9661" t="s">
        <v>19375</v>
      </c>
      <c r="B9661" s="171" t="s">
        <v>19376</v>
      </c>
      <c r="C9661" s="171" t="s">
        <v>128</v>
      </c>
      <c r="D9661" s="171" t="s">
        <v>4</v>
      </c>
      <c r="E9661" s="11">
        <v>43525</v>
      </c>
      <c r="F9661">
        <v>0</v>
      </c>
      <c r="G9661">
        <v>0</v>
      </c>
      <c r="I9661">
        <v>0</v>
      </c>
      <c r="J9661">
        <v>0</v>
      </c>
      <c r="L9661">
        <v>0</v>
      </c>
      <c r="N9661">
        <v>0</v>
      </c>
      <c r="P9661">
        <v>0</v>
      </c>
      <c r="Q9661">
        <v>0</v>
      </c>
      <c r="S9661">
        <v>0</v>
      </c>
    </row>
    <row r="9662" spans="1:20" x14ac:dyDescent="0.3">
      <c r="A9662" t="s">
        <v>19377</v>
      </c>
      <c r="B9662" s="171" t="s">
        <v>19378</v>
      </c>
      <c r="C9662" s="171" t="s">
        <v>131</v>
      </c>
      <c r="D9662" s="171" t="s">
        <v>4</v>
      </c>
      <c r="E9662" s="11">
        <v>43525</v>
      </c>
      <c r="F9662">
        <v>0</v>
      </c>
      <c r="G9662">
        <v>0</v>
      </c>
      <c r="I9662">
        <v>0</v>
      </c>
      <c r="J9662">
        <v>0</v>
      </c>
      <c r="L9662">
        <v>0</v>
      </c>
      <c r="N9662">
        <v>0</v>
      </c>
      <c r="P9662">
        <v>0</v>
      </c>
      <c r="Q9662">
        <v>0</v>
      </c>
      <c r="S9662">
        <v>0</v>
      </c>
    </row>
    <row r="9663" spans="1:20" x14ac:dyDescent="0.3">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x14ac:dyDescent="0.3">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x14ac:dyDescent="0.3">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x14ac:dyDescent="0.3">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x14ac:dyDescent="0.3">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x14ac:dyDescent="0.3">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x14ac:dyDescent="0.3">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x14ac:dyDescent="0.3">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x14ac:dyDescent="0.3">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x14ac:dyDescent="0.3">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x14ac:dyDescent="0.3">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x14ac:dyDescent="0.3">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x14ac:dyDescent="0.3">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x14ac:dyDescent="0.3">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x14ac:dyDescent="0.3">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x14ac:dyDescent="0.3">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x14ac:dyDescent="0.3">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x14ac:dyDescent="0.3">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x14ac:dyDescent="0.3">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x14ac:dyDescent="0.3">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x14ac:dyDescent="0.3">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x14ac:dyDescent="0.3">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x14ac:dyDescent="0.3">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x14ac:dyDescent="0.3">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x14ac:dyDescent="0.3">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x14ac:dyDescent="0.3">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x14ac:dyDescent="0.3">
      <c r="A9689" t="s">
        <v>19431</v>
      </c>
      <c r="B9689" s="171" t="s">
        <v>19432</v>
      </c>
      <c r="C9689" s="171" t="s">
        <v>236</v>
      </c>
      <c r="D9689" s="171" t="s">
        <v>4</v>
      </c>
      <c r="E9689" s="11">
        <v>43525</v>
      </c>
      <c r="F9689">
        <v>0</v>
      </c>
      <c r="G9689">
        <v>0</v>
      </c>
      <c r="I9689">
        <v>0</v>
      </c>
      <c r="J9689">
        <v>0</v>
      </c>
      <c r="L9689">
        <v>0</v>
      </c>
      <c r="N9689">
        <v>0</v>
      </c>
      <c r="P9689">
        <v>0</v>
      </c>
      <c r="Q9689">
        <v>0</v>
      </c>
      <c r="S9689">
        <v>0</v>
      </c>
    </row>
    <row r="9690" spans="1:20" x14ac:dyDescent="0.3">
      <c r="A9690" t="s">
        <v>19433</v>
      </c>
      <c r="B9690" s="171" t="s">
        <v>19434</v>
      </c>
      <c r="C9690" s="171" t="s">
        <v>239</v>
      </c>
      <c r="D9690" s="171" t="s">
        <v>4</v>
      </c>
      <c r="E9690" s="11">
        <v>43525</v>
      </c>
      <c r="F9690">
        <v>0</v>
      </c>
      <c r="G9690">
        <v>0</v>
      </c>
      <c r="I9690">
        <v>0</v>
      </c>
      <c r="J9690">
        <v>0</v>
      </c>
      <c r="L9690">
        <v>0</v>
      </c>
      <c r="N9690">
        <v>0</v>
      </c>
      <c r="P9690">
        <v>0</v>
      </c>
      <c r="Q9690">
        <v>0</v>
      </c>
      <c r="S9690">
        <v>0</v>
      </c>
    </row>
    <row r="9691" spans="1:20" x14ac:dyDescent="0.3">
      <c r="A9691" t="s">
        <v>19435</v>
      </c>
      <c r="B9691" s="171" t="s">
        <v>19436</v>
      </c>
      <c r="C9691" s="171" t="s">
        <v>143</v>
      </c>
      <c r="D9691" s="171" t="s">
        <v>4</v>
      </c>
      <c r="E9691" s="11">
        <v>43525</v>
      </c>
      <c r="F9691">
        <v>0</v>
      </c>
      <c r="G9691">
        <v>0</v>
      </c>
      <c r="I9691">
        <v>0</v>
      </c>
      <c r="J9691">
        <v>0</v>
      </c>
      <c r="L9691">
        <v>0</v>
      </c>
      <c r="N9691">
        <v>0</v>
      </c>
      <c r="P9691">
        <v>0</v>
      </c>
      <c r="Q9691">
        <v>0</v>
      </c>
      <c r="S9691">
        <v>0</v>
      </c>
    </row>
    <row r="9692" spans="1:20" x14ac:dyDescent="0.3">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x14ac:dyDescent="0.3">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x14ac:dyDescent="0.3">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x14ac:dyDescent="0.3">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x14ac:dyDescent="0.3">
      <c r="A9696" t="s">
        <v>19445</v>
      </c>
      <c r="B9696" s="171" t="s">
        <v>19446</v>
      </c>
      <c r="C9696" s="171" t="s">
        <v>158</v>
      </c>
      <c r="D9696" s="171" t="s">
        <v>4</v>
      </c>
      <c r="E9696" s="11">
        <v>43525</v>
      </c>
      <c r="F9696">
        <v>0</v>
      </c>
      <c r="G9696">
        <v>0</v>
      </c>
      <c r="I9696">
        <v>0</v>
      </c>
      <c r="J9696">
        <v>0</v>
      </c>
      <c r="L9696">
        <v>0</v>
      </c>
      <c r="N9696">
        <v>0</v>
      </c>
      <c r="P9696">
        <v>0</v>
      </c>
      <c r="Q9696">
        <v>0</v>
      </c>
      <c r="S9696">
        <v>0</v>
      </c>
    </row>
    <row r="9697" spans="1:19" x14ac:dyDescent="0.3">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x14ac:dyDescent="0.3">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x14ac:dyDescent="0.3">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x14ac:dyDescent="0.3">
      <c r="A9700" t="s">
        <v>19453</v>
      </c>
      <c r="B9700" s="171" t="s">
        <v>19454</v>
      </c>
      <c r="C9700" s="171" t="s">
        <v>227</v>
      </c>
      <c r="D9700" s="171" t="s">
        <v>4</v>
      </c>
      <c r="E9700" s="11">
        <v>43525</v>
      </c>
      <c r="F9700">
        <v>0</v>
      </c>
      <c r="G9700">
        <v>0</v>
      </c>
      <c r="I9700">
        <v>0</v>
      </c>
      <c r="J9700">
        <v>0</v>
      </c>
      <c r="L9700">
        <v>0</v>
      </c>
      <c r="N9700">
        <v>0</v>
      </c>
      <c r="P9700">
        <v>0</v>
      </c>
      <c r="Q9700">
        <v>0</v>
      </c>
      <c r="S9700">
        <v>0</v>
      </c>
    </row>
    <row r="9701" spans="1:19" x14ac:dyDescent="0.3">
      <c r="A9701" t="s">
        <v>19455</v>
      </c>
      <c r="B9701" s="171" t="s">
        <v>19456</v>
      </c>
      <c r="C9701" s="171" t="s">
        <v>230</v>
      </c>
      <c r="D9701" s="171" t="s">
        <v>4</v>
      </c>
      <c r="E9701" s="11">
        <v>43525</v>
      </c>
      <c r="F9701">
        <v>0</v>
      </c>
      <c r="G9701">
        <v>0</v>
      </c>
      <c r="I9701">
        <v>0</v>
      </c>
      <c r="J9701">
        <v>0</v>
      </c>
      <c r="L9701">
        <v>0</v>
      </c>
      <c r="N9701">
        <v>0</v>
      </c>
      <c r="P9701">
        <v>0</v>
      </c>
      <c r="Q9701">
        <v>0</v>
      </c>
      <c r="S9701">
        <v>0</v>
      </c>
    </row>
    <row r="9702" spans="1:19" x14ac:dyDescent="0.3">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x14ac:dyDescent="0.3">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x14ac:dyDescent="0.3">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x14ac:dyDescent="0.3">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x14ac:dyDescent="0.3">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x14ac:dyDescent="0.3">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x14ac:dyDescent="0.3">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x14ac:dyDescent="0.3">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x14ac:dyDescent="0.3">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x14ac:dyDescent="0.3">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x14ac:dyDescent="0.3">
      <c r="A9712" t="s">
        <v>19477</v>
      </c>
      <c r="B9712" s="171" t="s">
        <v>19478</v>
      </c>
      <c r="C9712" s="171" t="s">
        <v>76</v>
      </c>
      <c r="D9712" s="171" t="s">
        <v>4</v>
      </c>
      <c r="E9712" s="11">
        <v>43556</v>
      </c>
      <c r="F9712">
        <v>0</v>
      </c>
      <c r="G9712">
        <v>0</v>
      </c>
      <c r="I9712">
        <v>0</v>
      </c>
      <c r="J9712">
        <v>0</v>
      </c>
      <c r="L9712">
        <v>0</v>
      </c>
      <c r="N9712">
        <v>0</v>
      </c>
      <c r="P9712">
        <v>0</v>
      </c>
      <c r="Q9712">
        <v>0</v>
      </c>
      <c r="S9712">
        <v>0</v>
      </c>
    </row>
    <row r="9713" spans="1:19" x14ac:dyDescent="0.3">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x14ac:dyDescent="0.3">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x14ac:dyDescent="0.3">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x14ac:dyDescent="0.3">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x14ac:dyDescent="0.3">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x14ac:dyDescent="0.3">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x14ac:dyDescent="0.3">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x14ac:dyDescent="0.3">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x14ac:dyDescent="0.3">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x14ac:dyDescent="0.3">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x14ac:dyDescent="0.3">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x14ac:dyDescent="0.3">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x14ac:dyDescent="0.3">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x14ac:dyDescent="0.3">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x14ac:dyDescent="0.3">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x14ac:dyDescent="0.3">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x14ac:dyDescent="0.3">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x14ac:dyDescent="0.3">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x14ac:dyDescent="0.3">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x14ac:dyDescent="0.3">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x14ac:dyDescent="0.3">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x14ac:dyDescent="0.3">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x14ac:dyDescent="0.3">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x14ac:dyDescent="0.3">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x14ac:dyDescent="0.3">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x14ac:dyDescent="0.3">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x14ac:dyDescent="0.3">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x14ac:dyDescent="0.3">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x14ac:dyDescent="0.3">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x14ac:dyDescent="0.3">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x14ac:dyDescent="0.3">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x14ac:dyDescent="0.3">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x14ac:dyDescent="0.3">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x14ac:dyDescent="0.3">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x14ac:dyDescent="0.3">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x14ac:dyDescent="0.3">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x14ac:dyDescent="0.3">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x14ac:dyDescent="0.3">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x14ac:dyDescent="0.3">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x14ac:dyDescent="0.3">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x14ac:dyDescent="0.3">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x14ac:dyDescent="0.3">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x14ac:dyDescent="0.3">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x14ac:dyDescent="0.3">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x14ac:dyDescent="0.3">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x14ac:dyDescent="0.3">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x14ac:dyDescent="0.3">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x14ac:dyDescent="0.3">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x14ac:dyDescent="0.3">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x14ac:dyDescent="0.3">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x14ac:dyDescent="0.3">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x14ac:dyDescent="0.3">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x14ac:dyDescent="0.3">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x14ac:dyDescent="0.3">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x14ac:dyDescent="0.3">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x14ac:dyDescent="0.3">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x14ac:dyDescent="0.3">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x14ac:dyDescent="0.3">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x14ac:dyDescent="0.3">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x14ac:dyDescent="0.3">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x14ac:dyDescent="0.3">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x14ac:dyDescent="0.3">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x14ac:dyDescent="0.3">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x14ac:dyDescent="0.3">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x14ac:dyDescent="0.3">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x14ac:dyDescent="0.3">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x14ac:dyDescent="0.3">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x14ac:dyDescent="0.3">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x14ac:dyDescent="0.3">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x14ac:dyDescent="0.3">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x14ac:dyDescent="0.3">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x14ac:dyDescent="0.3">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x14ac:dyDescent="0.3">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x14ac:dyDescent="0.3">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x14ac:dyDescent="0.3">
      <c r="A9787" t="s">
        <v>19627</v>
      </c>
      <c r="B9787" s="171" t="s">
        <v>19628</v>
      </c>
      <c r="C9787" s="171" t="s">
        <v>212</v>
      </c>
      <c r="D9787" s="171" t="s">
        <v>4</v>
      </c>
      <c r="E9787" s="11">
        <v>43556</v>
      </c>
      <c r="F9787">
        <v>0</v>
      </c>
      <c r="G9787">
        <v>0</v>
      </c>
      <c r="I9787">
        <v>0</v>
      </c>
      <c r="J9787">
        <v>0</v>
      </c>
      <c r="L9787">
        <v>0</v>
      </c>
      <c r="N9787">
        <v>0</v>
      </c>
      <c r="P9787">
        <v>0</v>
      </c>
      <c r="Q9787">
        <v>0</v>
      </c>
      <c r="S9787">
        <v>0</v>
      </c>
    </row>
    <row r="9788" spans="1:19" x14ac:dyDescent="0.3">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x14ac:dyDescent="0.3">
      <c r="A9789" t="s">
        <v>19631</v>
      </c>
      <c r="B9789" s="171" t="s">
        <v>19632</v>
      </c>
      <c r="C9789" s="171" t="s">
        <v>221</v>
      </c>
      <c r="D9789" s="171" t="s">
        <v>4</v>
      </c>
      <c r="E9789" s="11">
        <v>43556</v>
      </c>
      <c r="F9789">
        <v>0</v>
      </c>
      <c r="G9789">
        <v>0</v>
      </c>
      <c r="I9789">
        <v>0</v>
      </c>
      <c r="J9789">
        <v>0</v>
      </c>
      <c r="L9789">
        <v>0</v>
      </c>
      <c r="N9789">
        <v>0</v>
      </c>
      <c r="P9789">
        <v>0</v>
      </c>
      <c r="Q9789">
        <v>0</v>
      </c>
      <c r="S9789">
        <v>0</v>
      </c>
    </row>
    <row r="9790" spans="1:19" x14ac:dyDescent="0.3">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x14ac:dyDescent="0.3">
      <c r="A9791" t="s">
        <v>19635</v>
      </c>
      <c r="B9791" s="171" t="s">
        <v>19636</v>
      </c>
      <c r="C9791" s="171" t="s">
        <v>233</v>
      </c>
      <c r="D9791" s="171" t="s">
        <v>4</v>
      </c>
      <c r="E9791" s="11">
        <v>43556</v>
      </c>
      <c r="F9791">
        <v>0</v>
      </c>
      <c r="G9791">
        <v>0</v>
      </c>
      <c r="I9791">
        <v>0</v>
      </c>
      <c r="J9791">
        <v>0</v>
      </c>
      <c r="L9791">
        <v>0</v>
      </c>
      <c r="N9791">
        <v>0</v>
      </c>
      <c r="P9791">
        <v>0</v>
      </c>
      <c r="Q9791">
        <v>0</v>
      </c>
      <c r="S9791">
        <v>0</v>
      </c>
    </row>
    <row r="9792" spans="1:19" x14ac:dyDescent="0.3">
      <c r="A9792" t="s">
        <v>19637</v>
      </c>
      <c r="B9792" s="171" t="s">
        <v>19638</v>
      </c>
      <c r="C9792" s="171" t="s">
        <v>79</v>
      </c>
      <c r="D9792" s="171" t="s">
        <v>80</v>
      </c>
      <c r="E9792" s="11">
        <v>43556</v>
      </c>
      <c r="F9792">
        <v>0</v>
      </c>
      <c r="G9792">
        <v>0</v>
      </c>
      <c r="I9792">
        <v>0</v>
      </c>
      <c r="J9792">
        <v>0</v>
      </c>
      <c r="L9792">
        <v>0</v>
      </c>
      <c r="N9792">
        <v>0</v>
      </c>
      <c r="P9792">
        <v>0</v>
      </c>
      <c r="Q9792">
        <v>0</v>
      </c>
      <c r="S9792">
        <v>0</v>
      </c>
    </row>
    <row r="9793" spans="1:19" x14ac:dyDescent="0.3">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x14ac:dyDescent="0.3">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x14ac:dyDescent="0.3">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x14ac:dyDescent="0.3">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x14ac:dyDescent="0.3">
      <c r="A9797" t="s">
        <v>19647</v>
      </c>
      <c r="B9797" s="171" t="s">
        <v>19648</v>
      </c>
      <c r="C9797" s="171" t="s">
        <v>89</v>
      </c>
      <c r="D9797" s="171" t="s">
        <v>80</v>
      </c>
      <c r="E9797" s="11">
        <v>43556</v>
      </c>
      <c r="F9797">
        <v>0</v>
      </c>
      <c r="G9797">
        <v>0</v>
      </c>
      <c r="I9797">
        <v>0</v>
      </c>
      <c r="J9797">
        <v>0</v>
      </c>
      <c r="L9797">
        <v>0</v>
      </c>
      <c r="N9797">
        <v>0</v>
      </c>
      <c r="P9797">
        <v>0</v>
      </c>
      <c r="Q9797">
        <v>0</v>
      </c>
      <c r="S9797">
        <v>0</v>
      </c>
    </row>
    <row r="9798" spans="1:19" x14ac:dyDescent="0.3">
      <c r="A9798" t="s">
        <v>19649</v>
      </c>
      <c r="B9798" s="171" t="s">
        <v>19650</v>
      </c>
      <c r="C9798" s="171" t="s">
        <v>92</v>
      </c>
      <c r="D9798" s="171" t="s">
        <v>80</v>
      </c>
      <c r="E9798" s="11">
        <v>43556</v>
      </c>
      <c r="F9798">
        <v>0</v>
      </c>
      <c r="G9798">
        <v>0</v>
      </c>
      <c r="I9798">
        <v>0</v>
      </c>
      <c r="J9798">
        <v>0</v>
      </c>
      <c r="L9798">
        <v>0</v>
      </c>
      <c r="N9798">
        <v>0</v>
      </c>
      <c r="P9798">
        <v>0</v>
      </c>
      <c r="Q9798">
        <v>0</v>
      </c>
      <c r="S9798">
        <v>0</v>
      </c>
    </row>
    <row r="9799" spans="1:19" x14ac:dyDescent="0.3">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x14ac:dyDescent="0.3">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x14ac:dyDescent="0.3">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x14ac:dyDescent="0.3">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x14ac:dyDescent="0.3">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x14ac:dyDescent="0.3">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x14ac:dyDescent="0.3">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x14ac:dyDescent="0.3">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x14ac:dyDescent="0.3">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x14ac:dyDescent="0.3">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x14ac:dyDescent="0.3">
      <c r="A9810" t="s">
        <v>19674</v>
      </c>
      <c r="B9810" s="171" t="s">
        <v>19675</v>
      </c>
      <c r="C9810" s="171" t="s">
        <v>76</v>
      </c>
      <c r="D9810" s="171" t="s">
        <v>80</v>
      </c>
      <c r="E9810" s="11">
        <v>43556</v>
      </c>
      <c r="F9810">
        <v>0</v>
      </c>
      <c r="G9810">
        <v>0</v>
      </c>
      <c r="I9810">
        <v>0</v>
      </c>
      <c r="J9810">
        <v>0</v>
      </c>
      <c r="L9810">
        <v>0</v>
      </c>
      <c r="N9810">
        <v>0</v>
      </c>
      <c r="P9810">
        <v>0</v>
      </c>
      <c r="Q9810">
        <v>0</v>
      </c>
      <c r="S9810">
        <v>0</v>
      </c>
    </row>
    <row r="9811" spans="1:19" x14ac:dyDescent="0.3">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x14ac:dyDescent="0.3">
      <c r="A9812" t="s">
        <v>19678</v>
      </c>
      <c r="B9812" s="171" t="s">
        <v>19679</v>
      </c>
      <c r="C9812" s="171" t="s">
        <v>79</v>
      </c>
      <c r="D9812" s="171" t="s">
        <v>4</v>
      </c>
      <c r="E9812" s="11">
        <v>43556</v>
      </c>
      <c r="F9812">
        <v>0</v>
      </c>
      <c r="G9812">
        <v>0</v>
      </c>
      <c r="I9812">
        <v>0</v>
      </c>
      <c r="J9812">
        <v>0</v>
      </c>
      <c r="L9812">
        <v>0</v>
      </c>
      <c r="N9812">
        <v>0</v>
      </c>
      <c r="P9812">
        <v>0</v>
      </c>
      <c r="Q9812">
        <v>0</v>
      </c>
      <c r="S9812">
        <v>0</v>
      </c>
    </row>
    <row r="9813" spans="1:19" x14ac:dyDescent="0.3">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x14ac:dyDescent="0.3">
      <c r="A9814" t="s">
        <v>19682</v>
      </c>
      <c r="B9814" s="171" t="s">
        <v>19683</v>
      </c>
      <c r="C9814" s="171" t="s">
        <v>89</v>
      </c>
      <c r="D9814" s="171" t="s">
        <v>4</v>
      </c>
      <c r="E9814" s="11">
        <v>43556</v>
      </c>
      <c r="F9814">
        <v>0</v>
      </c>
      <c r="G9814">
        <v>0</v>
      </c>
      <c r="I9814">
        <v>0</v>
      </c>
      <c r="J9814">
        <v>0</v>
      </c>
      <c r="L9814">
        <v>0</v>
      </c>
      <c r="N9814">
        <v>0</v>
      </c>
      <c r="P9814">
        <v>0</v>
      </c>
      <c r="Q9814">
        <v>0</v>
      </c>
      <c r="S9814">
        <v>0</v>
      </c>
    </row>
    <row r="9815" spans="1:19" x14ac:dyDescent="0.3">
      <c r="A9815" t="s">
        <v>19684</v>
      </c>
      <c r="B9815" s="171" t="s">
        <v>19685</v>
      </c>
      <c r="C9815" s="171" t="s">
        <v>92</v>
      </c>
      <c r="D9815" s="171" t="s">
        <v>4</v>
      </c>
      <c r="E9815" s="11">
        <v>43556</v>
      </c>
      <c r="F9815">
        <v>0</v>
      </c>
      <c r="G9815">
        <v>0</v>
      </c>
      <c r="I9815">
        <v>0</v>
      </c>
      <c r="J9815">
        <v>0</v>
      </c>
      <c r="L9815">
        <v>0</v>
      </c>
      <c r="N9815">
        <v>0</v>
      </c>
      <c r="P9815">
        <v>0</v>
      </c>
      <c r="Q9815">
        <v>0</v>
      </c>
      <c r="S9815">
        <v>0</v>
      </c>
    </row>
    <row r="9816" spans="1:19" x14ac:dyDescent="0.3">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x14ac:dyDescent="0.3">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x14ac:dyDescent="0.3">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x14ac:dyDescent="0.3">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x14ac:dyDescent="0.3">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x14ac:dyDescent="0.3">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x14ac:dyDescent="0.3">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x14ac:dyDescent="0.3">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x14ac:dyDescent="0.3">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x14ac:dyDescent="0.3">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x14ac:dyDescent="0.3">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x14ac:dyDescent="0.3">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x14ac:dyDescent="0.3">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x14ac:dyDescent="0.3">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x14ac:dyDescent="0.3">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x14ac:dyDescent="0.3">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x14ac:dyDescent="0.3">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x14ac:dyDescent="0.3">
      <c r="A9833" t="s">
        <v>19720</v>
      </c>
      <c r="B9833" s="171" t="s">
        <v>19721</v>
      </c>
      <c r="C9833" s="171" t="s">
        <v>128</v>
      </c>
      <c r="D9833" s="171" t="s">
        <v>4</v>
      </c>
      <c r="E9833" s="11">
        <v>43556</v>
      </c>
      <c r="F9833">
        <v>0</v>
      </c>
      <c r="G9833">
        <v>0</v>
      </c>
      <c r="I9833">
        <v>0</v>
      </c>
      <c r="J9833">
        <v>0</v>
      </c>
      <c r="L9833">
        <v>0</v>
      </c>
      <c r="N9833">
        <v>0</v>
      </c>
      <c r="P9833">
        <v>0</v>
      </c>
      <c r="Q9833">
        <v>0</v>
      </c>
      <c r="S9833">
        <v>0</v>
      </c>
    </row>
    <row r="9834" spans="1:20" x14ac:dyDescent="0.3">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x14ac:dyDescent="0.3">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x14ac:dyDescent="0.3">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x14ac:dyDescent="0.3">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x14ac:dyDescent="0.3">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x14ac:dyDescent="0.3">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x14ac:dyDescent="0.3">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x14ac:dyDescent="0.3">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x14ac:dyDescent="0.3">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x14ac:dyDescent="0.3">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x14ac:dyDescent="0.3">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x14ac:dyDescent="0.3">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x14ac:dyDescent="0.3">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x14ac:dyDescent="0.3">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x14ac:dyDescent="0.3">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x14ac:dyDescent="0.3">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x14ac:dyDescent="0.3">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x14ac:dyDescent="0.3">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x14ac:dyDescent="0.3">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x14ac:dyDescent="0.3">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x14ac:dyDescent="0.3">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x14ac:dyDescent="0.3">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x14ac:dyDescent="0.3">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x14ac:dyDescent="0.3">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x14ac:dyDescent="0.3">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x14ac:dyDescent="0.3">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x14ac:dyDescent="0.3">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x14ac:dyDescent="0.3">
      <c r="A9861" t="s">
        <v>19776</v>
      </c>
      <c r="B9861" s="171" t="s">
        <v>19777</v>
      </c>
      <c r="C9861" s="171" t="s">
        <v>236</v>
      </c>
      <c r="D9861" s="171" t="s">
        <v>4</v>
      </c>
      <c r="E9861" s="11">
        <v>43556</v>
      </c>
      <c r="F9861">
        <v>0</v>
      </c>
      <c r="G9861">
        <v>0</v>
      </c>
      <c r="I9861">
        <v>0</v>
      </c>
      <c r="J9861">
        <v>0</v>
      </c>
      <c r="L9861">
        <v>0</v>
      </c>
      <c r="N9861">
        <v>0</v>
      </c>
      <c r="P9861">
        <v>0</v>
      </c>
      <c r="Q9861">
        <v>0</v>
      </c>
      <c r="S9861">
        <v>0</v>
      </c>
    </row>
    <row r="9862" spans="1:20" x14ac:dyDescent="0.3">
      <c r="A9862" t="s">
        <v>19778</v>
      </c>
      <c r="B9862" s="171" t="s">
        <v>19779</v>
      </c>
      <c r="C9862" s="171" t="s">
        <v>239</v>
      </c>
      <c r="D9862" s="171" t="s">
        <v>4</v>
      </c>
      <c r="E9862" s="11">
        <v>43556</v>
      </c>
      <c r="F9862">
        <v>0</v>
      </c>
      <c r="G9862">
        <v>0</v>
      </c>
      <c r="I9862">
        <v>0</v>
      </c>
      <c r="J9862">
        <v>0</v>
      </c>
      <c r="L9862">
        <v>0</v>
      </c>
      <c r="N9862">
        <v>0</v>
      </c>
      <c r="P9862">
        <v>0</v>
      </c>
      <c r="Q9862">
        <v>0</v>
      </c>
      <c r="S9862">
        <v>0</v>
      </c>
    </row>
    <row r="9863" spans="1:20" x14ac:dyDescent="0.3">
      <c r="A9863" t="s">
        <v>19780</v>
      </c>
      <c r="B9863" s="171" t="s">
        <v>19781</v>
      </c>
      <c r="C9863" s="171" t="s">
        <v>143</v>
      </c>
      <c r="D9863" s="171" t="s">
        <v>4</v>
      </c>
      <c r="E9863" s="11">
        <v>43556</v>
      </c>
      <c r="F9863">
        <v>0</v>
      </c>
      <c r="G9863">
        <v>0</v>
      </c>
      <c r="I9863">
        <v>0</v>
      </c>
      <c r="J9863">
        <v>0</v>
      </c>
      <c r="L9863">
        <v>0</v>
      </c>
      <c r="N9863">
        <v>0</v>
      </c>
      <c r="P9863">
        <v>0</v>
      </c>
      <c r="Q9863">
        <v>0</v>
      </c>
      <c r="S9863">
        <v>0</v>
      </c>
    </row>
    <row r="9864" spans="1:20" x14ac:dyDescent="0.3">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x14ac:dyDescent="0.3">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x14ac:dyDescent="0.3">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x14ac:dyDescent="0.3">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x14ac:dyDescent="0.3">
      <c r="A9868" t="s">
        <v>19790</v>
      </c>
      <c r="B9868" s="171" t="s">
        <v>19791</v>
      </c>
      <c r="C9868" s="171" t="s">
        <v>158</v>
      </c>
      <c r="D9868" s="171" t="s">
        <v>4</v>
      </c>
      <c r="E9868" s="11">
        <v>43556</v>
      </c>
      <c r="F9868">
        <v>0</v>
      </c>
      <c r="G9868">
        <v>0</v>
      </c>
      <c r="I9868">
        <v>0</v>
      </c>
      <c r="J9868">
        <v>0</v>
      </c>
      <c r="L9868">
        <v>0</v>
      </c>
      <c r="N9868">
        <v>0</v>
      </c>
      <c r="P9868">
        <v>0</v>
      </c>
      <c r="Q9868">
        <v>0</v>
      </c>
      <c r="S9868">
        <v>0</v>
      </c>
    </row>
    <row r="9869" spans="1:20" x14ac:dyDescent="0.3">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x14ac:dyDescent="0.3">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x14ac:dyDescent="0.3">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x14ac:dyDescent="0.3">
      <c r="A9872" t="s">
        <v>19798</v>
      </c>
      <c r="B9872" s="171" t="s">
        <v>19799</v>
      </c>
      <c r="C9872" s="171" t="s">
        <v>227</v>
      </c>
      <c r="D9872" s="171" t="s">
        <v>4</v>
      </c>
      <c r="E9872" s="11">
        <v>43556</v>
      </c>
      <c r="F9872">
        <v>0</v>
      </c>
      <c r="G9872">
        <v>0</v>
      </c>
      <c r="I9872">
        <v>0</v>
      </c>
      <c r="J9872">
        <v>0</v>
      </c>
      <c r="L9872">
        <v>0</v>
      </c>
      <c r="N9872">
        <v>0</v>
      </c>
      <c r="P9872">
        <v>0</v>
      </c>
      <c r="Q9872">
        <v>0</v>
      </c>
      <c r="S9872">
        <v>0</v>
      </c>
    </row>
    <row r="9873" spans="1:19" x14ac:dyDescent="0.3">
      <c r="A9873" t="s">
        <v>19800</v>
      </c>
      <c r="B9873" s="171" t="s">
        <v>19801</v>
      </c>
      <c r="C9873" s="171" t="s">
        <v>230</v>
      </c>
      <c r="D9873" s="171" t="s">
        <v>4</v>
      </c>
      <c r="E9873" s="11">
        <v>43556</v>
      </c>
      <c r="F9873">
        <v>0</v>
      </c>
      <c r="G9873">
        <v>0</v>
      </c>
      <c r="I9873">
        <v>0</v>
      </c>
      <c r="J9873">
        <v>0</v>
      </c>
      <c r="L9873">
        <v>0</v>
      </c>
      <c r="N9873">
        <v>0</v>
      </c>
      <c r="P9873">
        <v>0</v>
      </c>
      <c r="Q9873">
        <v>0</v>
      </c>
      <c r="S9873">
        <v>0</v>
      </c>
    </row>
    <row r="9874" spans="1:19" x14ac:dyDescent="0.3">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x14ac:dyDescent="0.3">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x14ac:dyDescent="0.3">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x14ac:dyDescent="0.3">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x14ac:dyDescent="0.3">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x14ac:dyDescent="0.3">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x14ac:dyDescent="0.3">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x14ac:dyDescent="0.3">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x14ac:dyDescent="0.3">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x14ac:dyDescent="0.3">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x14ac:dyDescent="0.3">
      <c r="A9884" t="s">
        <v>19822</v>
      </c>
      <c r="B9884" s="171" t="s">
        <v>19823</v>
      </c>
      <c r="C9884" s="171" t="s">
        <v>76</v>
      </c>
      <c r="D9884" s="171" t="s">
        <v>4</v>
      </c>
      <c r="E9884" s="11">
        <v>43586</v>
      </c>
      <c r="F9884">
        <v>0</v>
      </c>
      <c r="G9884">
        <v>0</v>
      </c>
      <c r="I9884">
        <v>0</v>
      </c>
      <c r="J9884">
        <v>0</v>
      </c>
      <c r="L9884">
        <v>0</v>
      </c>
      <c r="N9884">
        <v>0</v>
      </c>
      <c r="P9884">
        <v>0</v>
      </c>
      <c r="Q9884">
        <v>0</v>
      </c>
      <c r="S9884">
        <v>0</v>
      </c>
    </row>
    <row r="9885" spans="1:19" x14ac:dyDescent="0.3">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x14ac:dyDescent="0.3">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x14ac:dyDescent="0.3">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x14ac:dyDescent="0.3">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x14ac:dyDescent="0.3">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x14ac:dyDescent="0.3">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x14ac:dyDescent="0.3">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x14ac:dyDescent="0.3">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x14ac:dyDescent="0.3">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x14ac:dyDescent="0.3">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x14ac:dyDescent="0.3">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x14ac:dyDescent="0.3">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x14ac:dyDescent="0.3">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x14ac:dyDescent="0.3">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x14ac:dyDescent="0.3">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x14ac:dyDescent="0.3">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x14ac:dyDescent="0.3">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x14ac:dyDescent="0.3">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x14ac:dyDescent="0.3">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x14ac:dyDescent="0.3">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x14ac:dyDescent="0.3">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x14ac:dyDescent="0.3">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x14ac:dyDescent="0.3">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x14ac:dyDescent="0.3">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x14ac:dyDescent="0.3">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x14ac:dyDescent="0.3">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x14ac:dyDescent="0.3">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x14ac:dyDescent="0.3">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x14ac:dyDescent="0.3">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x14ac:dyDescent="0.3">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x14ac:dyDescent="0.3">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x14ac:dyDescent="0.3">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x14ac:dyDescent="0.3">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x14ac:dyDescent="0.3">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x14ac:dyDescent="0.3">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x14ac:dyDescent="0.3">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x14ac:dyDescent="0.3">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x14ac:dyDescent="0.3">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x14ac:dyDescent="0.3">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x14ac:dyDescent="0.3">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x14ac:dyDescent="0.3">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x14ac:dyDescent="0.3">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x14ac:dyDescent="0.3">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x14ac:dyDescent="0.3">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x14ac:dyDescent="0.3">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x14ac:dyDescent="0.3">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x14ac:dyDescent="0.3">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x14ac:dyDescent="0.3">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x14ac:dyDescent="0.3">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x14ac:dyDescent="0.3">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x14ac:dyDescent="0.3">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x14ac:dyDescent="0.3">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x14ac:dyDescent="0.3">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x14ac:dyDescent="0.3">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x14ac:dyDescent="0.3">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x14ac:dyDescent="0.3">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x14ac:dyDescent="0.3">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x14ac:dyDescent="0.3">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x14ac:dyDescent="0.3">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x14ac:dyDescent="0.3">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x14ac:dyDescent="0.3">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x14ac:dyDescent="0.3">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x14ac:dyDescent="0.3">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x14ac:dyDescent="0.3">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x14ac:dyDescent="0.3">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x14ac:dyDescent="0.3">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x14ac:dyDescent="0.3">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x14ac:dyDescent="0.3">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x14ac:dyDescent="0.3">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x14ac:dyDescent="0.3">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x14ac:dyDescent="0.3">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x14ac:dyDescent="0.3">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x14ac:dyDescent="0.3">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x14ac:dyDescent="0.3">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x14ac:dyDescent="0.3">
      <c r="A9959" t="s">
        <v>19972</v>
      </c>
      <c r="B9959" s="171" t="s">
        <v>19973</v>
      </c>
      <c r="C9959" s="171" t="s">
        <v>212</v>
      </c>
      <c r="D9959" s="171" t="s">
        <v>4</v>
      </c>
      <c r="E9959" s="11">
        <v>43586</v>
      </c>
      <c r="F9959">
        <v>0</v>
      </c>
      <c r="G9959">
        <v>0</v>
      </c>
      <c r="I9959">
        <v>0</v>
      </c>
      <c r="J9959">
        <v>0</v>
      </c>
      <c r="L9959">
        <v>0</v>
      </c>
      <c r="N9959">
        <v>0</v>
      </c>
      <c r="P9959">
        <v>0</v>
      </c>
      <c r="Q9959">
        <v>0</v>
      </c>
      <c r="S9959">
        <v>0</v>
      </c>
    </row>
    <row r="9960" spans="1:20" x14ac:dyDescent="0.3">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x14ac:dyDescent="0.3">
      <c r="A9961" t="s">
        <v>19976</v>
      </c>
      <c r="B9961" s="171" t="s">
        <v>19977</v>
      </c>
      <c r="C9961" s="171" t="s">
        <v>221</v>
      </c>
      <c r="D9961" s="171" t="s">
        <v>4</v>
      </c>
      <c r="E9961" s="11">
        <v>43586</v>
      </c>
      <c r="F9961">
        <v>0</v>
      </c>
      <c r="G9961">
        <v>0</v>
      </c>
      <c r="I9961">
        <v>0</v>
      </c>
      <c r="J9961">
        <v>0</v>
      </c>
      <c r="L9961">
        <v>0</v>
      </c>
      <c r="N9961">
        <v>0</v>
      </c>
      <c r="P9961">
        <v>0</v>
      </c>
      <c r="Q9961">
        <v>0</v>
      </c>
      <c r="S9961">
        <v>0</v>
      </c>
    </row>
    <row r="9962" spans="1:20" x14ac:dyDescent="0.3">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x14ac:dyDescent="0.3">
      <c r="A9963" t="s">
        <v>19980</v>
      </c>
      <c r="B9963" s="171" t="s">
        <v>19981</v>
      </c>
      <c r="C9963" s="171" t="s">
        <v>233</v>
      </c>
      <c r="D9963" s="171" t="s">
        <v>4</v>
      </c>
      <c r="E9963" s="11">
        <v>43586</v>
      </c>
      <c r="F9963">
        <v>0</v>
      </c>
      <c r="G9963">
        <v>0</v>
      </c>
      <c r="I9963">
        <v>0</v>
      </c>
      <c r="J9963">
        <v>0</v>
      </c>
      <c r="L9963">
        <v>0</v>
      </c>
      <c r="N9963">
        <v>0</v>
      </c>
      <c r="P9963">
        <v>0</v>
      </c>
      <c r="Q9963">
        <v>0</v>
      </c>
      <c r="S9963">
        <v>0</v>
      </c>
    </row>
    <row r="9964" spans="1:20" x14ac:dyDescent="0.3">
      <c r="A9964" t="s">
        <v>19982</v>
      </c>
      <c r="B9964" s="171" t="s">
        <v>19983</v>
      </c>
      <c r="C9964" s="171" t="s">
        <v>79</v>
      </c>
      <c r="D9964" s="171" t="s">
        <v>80</v>
      </c>
      <c r="E9964" s="11">
        <v>43586</v>
      </c>
      <c r="F9964">
        <v>0</v>
      </c>
      <c r="G9964">
        <v>0</v>
      </c>
      <c r="I9964">
        <v>0</v>
      </c>
      <c r="J9964">
        <v>0</v>
      </c>
      <c r="L9964">
        <v>0</v>
      </c>
      <c r="N9964">
        <v>0</v>
      </c>
      <c r="P9964">
        <v>0</v>
      </c>
      <c r="Q9964">
        <v>0</v>
      </c>
      <c r="S9964">
        <v>0</v>
      </c>
    </row>
    <row r="9965" spans="1:20" x14ac:dyDescent="0.3">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x14ac:dyDescent="0.3">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x14ac:dyDescent="0.3">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x14ac:dyDescent="0.3">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x14ac:dyDescent="0.3">
      <c r="A9969" t="s">
        <v>19992</v>
      </c>
      <c r="B9969" s="171" t="s">
        <v>19993</v>
      </c>
      <c r="C9969" s="171" t="s">
        <v>89</v>
      </c>
      <c r="D9969" s="171" t="s">
        <v>80</v>
      </c>
      <c r="E9969" s="11">
        <v>43586</v>
      </c>
      <c r="F9969">
        <v>0</v>
      </c>
      <c r="G9969">
        <v>0</v>
      </c>
      <c r="I9969">
        <v>0</v>
      </c>
      <c r="J9969">
        <v>0</v>
      </c>
      <c r="L9969">
        <v>0</v>
      </c>
      <c r="N9969">
        <v>0</v>
      </c>
      <c r="P9969">
        <v>0</v>
      </c>
      <c r="Q9969">
        <v>0</v>
      </c>
      <c r="S9969">
        <v>0</v>
      </c>
    </row>
    <row r="9970" spans="1:20" x14ac:dyDescent="0.3">
      <c r="A9970" t="s">
        <v>19994</v>
      </c>
      <c r="B9970" s="171" t="s">
        <v>19995</v>
      </c>
      <c r="C9970" s="171" t="s">
        <v>92</v>
      </c>
      <c r="D9970" s="171" t="s">
        <v>80</v>
      </c>
      <c r="E9970" s="11">
        <v>43586</v>
      </c>
      <c r="F9970">
        <v>0</v>
      </c>
      <c r="G9970">
        <v>0</v>
      </c>
      <c r="I9970">
        <v>0</v>
      </c>
      <c r="J9970">
        <v>0</v>
      </c>
      <c r="L9970">
        <v>0</v>
      </c>
      <c r="N9970">
        <v>0</v>
      </c>
      <c r="P9970">
        <v>0</v>
      </c>
      <c r="Q9970">
        <v>0</v>
      </c>
      <c r="S9970">
        <v>0</v>
      </c>
    </row>
    <row r="9971" spans="1:20" x14ac:dyDescent="0.3">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x14ac:dyDescent="0.3">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x14ac:dyDescent="0.3">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x14ac:dyDescent="0.3">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x14ac:dyDescent="0.3">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x14ac:dyDescent="0.3">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x14ac:dyDescent="0.3">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x14ac:dyDescent="0.3">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x14ac:dyDescent="0.3">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x14ac:dyDescent="0.3">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x14ac:dyDescent="0.3">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x14ac:dyDescent="0.3">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x14ac:dyDescent="0.3">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x14ac:dyDescent="0.3">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x14ac:dyDescent="0.3">
      <c r="A9986" t="s">
        <v>20026</v>
      </c>
      <c r="B9986" s="171" t="s">
        <v>20027</v>
      </c>
      <c r="C9986" s="171" t="s">
        <v>89</v>
      </c>
      <c r="D9986" s="171" t="s">
        <v>4</v>
      </c>
      <c r="E9986" s="11">
        <v>43586</v>
      </c>
      <c r="F9986">
        <v>0</v>
      </c>
      <c r="G9986">
        <v>0</v>
      </c>
      <c r="I9986">
        <v>0</v>
      </c>
      <c r="J9986">
        <v>0</v>
      </c>
      <c r="L9986">
        <v>0</v>
      </c>
      <c r="N9986">
        <v>0</v>
      </c>
      <c r="P9986">
        <v>0</v>
      </c>
      <c r="Q9986">
        <v>0</v>
      </c>
      <c r="S9986">
        <v>0</v>
      </c>
    </row>
    <row r="9987" spans="1:20" x14ac:dyDescent="0.3">
      <c r="A9987" t="s">
        <v>20028</v>
      </c>
      <c r="B9987" s="171" t="s">
        <v>20029</v>
      </c>
      <c r="C9987" s="171" t="s">
        <v>92</v>
      </c>
      <c r="D9987" s="171" t="s">
        <v>4</v>
      </c>
      <c r="E9987" s="11">
        <v>43586</v>
      </c>
      <c r="F9987">
        <v>0</v>
      </c>
      <c r="G9987">
        <v>0</v>
      </c>
      <c r="I9987">
        <v>0</v>
      </c>
      <c r="J9987">
        <v>0</v>
      </c>
      <c r="L9987">
        <v>0</v>
      </c>
      <c r="N9987">
        <v>0</v>
      </c>
      <c r="P9987">
        <v>0</v>
      </c>
      <c r="Q9987">
        <v>0</v>
      </c>
      <c r="S9987">
        <v>0</v>
      </c>
    </row>
    <row r="9988" spans="1:20" x14ac:dyDescent="0.3">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x14ac:dyDescent="0.3">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x14ac:dyDescent="0.3">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x14ac:dyDescent="0.3">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x14ac:dyDescent="0.3">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x14ac:dyDescent="0.3">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x14ac:dyDescent="0.3">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x14ac:dyDescent="0.3">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x14ac:dyDescent="0.3">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x14ac:dyDescent="0.3">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x14ac:dyDescent="0.3">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x14ac:dyDescent="0.3">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x14ac:dyDescent="0.3">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x14ac:dyDescent="0.3">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x14ac:dyDescent="0.3">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x14ac:dyDescent="0.3">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x14ac:dyDescent="0.3">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x14ac:dyDescent="0.3">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x14ac:dyDescent="0.3">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x14ac:dyDescent="0.3">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x14ac:dyDescent="0.3">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x14ac:dyDescent="0.3">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x14ac:dyDescent="0.3">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x14ac:dyDescent="0.3">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x14ac:dyDescent="0.3">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x14ac:dyDescent="0.3">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x14ac:dyDescent="0.3">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x14ac:dyDescent="0.3">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x14ac:dyDescent="0.3">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x14ac:dyDescent="0.3">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x14ac:dyDescent="0.3">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x14ac:dyDescent="0.3">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x14ac:dyDescent="0.3">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x14ac:dyDescent="0.3">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x14ac:dyDescent="0.3">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x14ac:dyDescent="0.3">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x14ac:dyDescent="0.3">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x14ac:dyDescent="0.3">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x14ac:dyDescent="0.3">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x14ac:dyDescent="0.3">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x14ac:dyDescent="0.3">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x14ac:dyDescent="0.3">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x14ac:dyDescent="0.3">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x14ac:dyDescent="0.3">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x14ac:dyDescent="0.3">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x14ac:dyDescent="0.3">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x14ac:dyDescent="0.3">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x14ac:dyDescent="0.3">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x14ac:dyDescent="0.3">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x14ac:dyDescent="0.3">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x14ac:dyDescent="0.3">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x14ac:dyDescent="0.3">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x14ac:dyDescent="0.3">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x14ac:dyDescent="0.3">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x14ac:dyDescent="0.3">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x14ac:dyDescent="0.3">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x14ac:dyDescent="0.3">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x14ac:dyDescent="0.3">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x14ac:dyDescent="0.3">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x14ac:dyDescent="0.3">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x14ac:dyDescent="0.3">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x14ac:dyDescent="0.3">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x14ac:dyDescent="0.3">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x14ac:dyDescent="0.3">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x14ac:dyDescent="0.3">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x14ac:dyDescent="0.3">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x14ac:dyDescent="0.3">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x14ac:dyDescent="0.3">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x14ac:dyDescent="0.3">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x14ac:dyDescent="0.3">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x14ac:dyDescent="0.3">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x14ac:dyDescent="0.3">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x14ac:dyDescent="0.3">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x14ac:dyDescent="0.3">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x14ac:dyDescent="0.3">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x14ac:dyDescent="0.3">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x14ac:dyDescent="0.3">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x14ac:dyDescent="0.3">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x14ac:dyDescent="0.3">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x14ac:dyDescent="0.3">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x14ac:dyDescent="0.3">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x14ac:dyDescent="0.3">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x14ac:dyDescent="0.3">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x14ac:dyDescent="0.3">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x14ac:dyDescent="0.3">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x14ac:dyDescent="0.3">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x14ac:dyDescent="0.3">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x14ac:dyDescent="0.3">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x14ac:dyDescent="0.3">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x14ac:dyDescent="0.3">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x14ac:dyDescent="0.3">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x14ac:dyDescent="0.3">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x14ac:dyDescent="0.3">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x14ac:dyDescent="0.3">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x14ac:dyDescent="0.3">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x14ac:dyDescent="0.3">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x14ac:dyDescent="0.3">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x14ac:dyDescent="0.3">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x14ac:dyDescent="0.3">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x14ac:dyDescent="0.3">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x14ac:dyDescent="0.3">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x14ac:dyDescent="0.3">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x14ac:dyDescent="0.3">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x14ac:dyDescent="0.3">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x14ac:dyDescent="0.3">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x14ac:dyDescent="0.3">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x14ac:dyDescent="0.3">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x14ac:dyDescent="0.3">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x14ac:dyDescent="0.3">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x14ac:dyDescent="0.3">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x14ac:dyDescent="0.3">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x14ac:dyDescent="0.3">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x14ac:dyDescent="0.3">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x14ac:dyDescent="0.3">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x14ac:dyDescent="0.3">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x14ac:dyDescent="0.3">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x14ac:dyDescent="0.3">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x14ac:dyDescent="0.3">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x14ac:dyDescent="0.3">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x14ac:dyDescent="0.3">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x14ac:dyDescent="0.3">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x14ac:dyDescent="0.3">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x14ac:dyDescent="0.3">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x14ac:dyDescent="0.3">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x14ac:dyDescent="0.3">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x14ac:dyDescent="0.3">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x14ac:dyDescent="0.3">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x14ac:dyDescent="0.3">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x14ac:dyDescent="0.3">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x14ac:dyDescent="0.3">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x14ac:dyDescent="0.3">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x14ac:dyDescent="0.3">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x14ac:dyDescent="0.3">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x14ac:dyDescent="0.3">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x14ac:dyDescent="0.3">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x14ac:dyDescent="0.3">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x14ac:dyDescent="0.3">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x14ac:dyDescent="0.3">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x14ac:dyDescent="0.3">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x14ac:dyDescent="0.3">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x14ac:dyDescent="0.3">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x14ac:dyDescent="0.3">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x14ac:dyDescent="0.3">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x14ac:dyDescent="0.3">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x14ac:dyDescent="0.3">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x14ac:dyDescent="0.3">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x14ac:dyDescent="0.3">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x14ac:dyDescent="0.3">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x14ac:dyDescent="0.3">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x14ac:dyDescent="0.3">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x14ac:dyDescent="0.3">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x14ac:dyDescent="0.3">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x14ac:dyDescent="0.3">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x14ac:dyDescent="0.3">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x14ac:dyDescent="0.3">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x14ac:dyDescent="0.3">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x14ac:dyDescent="0.3">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x14ac:dyDescent="0.3">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x14ac:dyDescent="0.3">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x14ac:dyDescent="0.3">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x14ac:dyDescent="0.3">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x14ac:dyDescent="0.3">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x14ac:dyDescent="0.3">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x14ac:dyDescent="0.3">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x14ac:dyDescent="0.3">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x14ac:dyDescent="0.3">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x14ac:dyDescent="0.3">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x14ac:dyDescent="0.3">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x14ac:dyDescent="0.3">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x14ac:dyDescent="0.3">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x14ac:dyDescent="0.3">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x14ac:dyDescent="0.3">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x14ac:dyDescent="0.3">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x14ac:dyDescent="0.3">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x14ac:dyDescent="0.3">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x14ac:dyDescent="0.3">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x14ac:dyDescent="0.3">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x14ac:dyDescent="0.3">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x14ac:dyDescent="0.3">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x14ac:dyDescent="0.3">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x14ac:dyDescent="0.3">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x14ac:dyDescent="0.3">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x14ac:dyDescent="0.3">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x14ac:dyDescent="0.3">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x14ac:dyDescent="0.3">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x14ac:dyDescent="0.3">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x14ac:dyDescent="0.3">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x14ac:dyDescent="0.3">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x14ac:dyDescent="0.3">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x14ac:dyDescent="0.3">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x14ac:dyDescent="0.3">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x14ac:dyDescent="0.3">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x14ac:dyDescent="0.3">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x14ac:dyDescent="0.3">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x14ac:dyDescent="0.3">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x14ac:dyDescent="0.3">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x14ac:dyDescent="0.3">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x14ac:dyDescent="0.3">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x14ac:dyDescent="0.3">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x14ac:dyDescent="0.3">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x14ac:dyDescent="0.3">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x14ac:dyDescent="0.3">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x14ac:dyDescent="0.3">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x14ac:dyDescent="0.3">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x14ac:dyDescent="0.3">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x14ac:dyDescent="0.3">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x14ac:dyDescent="0.3">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x14ac:dyDescent="0.3">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x14ac:dyDescent="0.3">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x14ac:dyDescent="0.3">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x14ac:dyDescent="0.3">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x14ac:dyDescent="0.3">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x14ac:dyDescent="0.3">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x14ac:dyDescent="0.3">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x14ac:dyDescent="0.3">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x14ac:dyDescent="0.3">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x14ac:dyDescent="0.3">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x14ac:dyDescent="0.3">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x14ac:dyDescent="0.3">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x14ac:dyDescent="0.3">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x14ac:dyDescent="0.3">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x14ac:dyDescent="0.3">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x14ac:dyDescent="0.3">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x14ac:dyDescent="0.3">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x14ac:dyDescent="0.3">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x14ac:dyDescent="0.3">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x14ac:dyDescent="0.3">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x14ac:dyDescent="0.3">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x14ac:dyDescent="0.3">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x14ac:dyDescent="0.3">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x14ac:dyDescent="0.3">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x14ac:dyDescent="0.3">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x14ac:dyDescent="0.3">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x14ac:dyDescent="0.3">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x14ac:dyDescent="0.3">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x14ac:dyDescent="0.3">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x14ac:dyDescent="0.3">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x14ac:dyDescent="0.3">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x14ac:dyDescent="0.3">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x14ac:dyDescent="0.3">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x14ac:dyDescent="0.3">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x14ac:dyDescent="0.3">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x14ac:dyDescent="0.3">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x14ac:dyDescent="0.3">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x14ac:dyDescent="0.3">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x14ac:dyDescent="0.3">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x14ac:dyDescent="0.3">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x14ac:dyDescent="0.3">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x14ac:dyDescent="0.3">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x14ac:dyDescent="0.3">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x14ac:dyDescent="0.3">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x14ac:dyDescent="0.3">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x14ac:dyDescent="0.3">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x14ac:dyDescent="0.3">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x14ac:dyDescent="0.3">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x14ac:dyDescent="0.3">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x14ac:dyDescent="0.3">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x14ac:dyDescent="0.3">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x14ac:dyDescent="0.3">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x14ac:dyDescent="0.3">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x14ac:dyDescent="0.3">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x14ac:dyDescent="0.3">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x14ac:dyDescent="0.3">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x14ac:dyDescent="0.3">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x14ac:dyDescent="0.3">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x14ac:dyDescent="0.3">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x14ac:dyDescent="0.3">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x14ac:dyDescent="0.3">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x14ac:dyDescent="0.3">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x14ac:dyDescent="0.3">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x14ac:dyDescent="0.3">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x14ac:dyDescent="0.3">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x14ac:dyDescent="0.3">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x14ac:dyDescent="0.3">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x14ac:dyDescent="0.3">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x14ac:dyDescent="0.3">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x14ac:dyDescent="0.3">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x14ac:dyDescent="0.3">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x14ac:dyDescent="0.3">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x14ac:dyDescent="0.3">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x14ac:dyDescent="0.3">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x14ac:dyDescent="0.3">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x14ac:dyDescent="0.3">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x14ac:dyDescent="0.3">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x14ac:dyDescent="0.3">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x14ac:dyDescent="0.3">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x14ac:dyDescent="0.3">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x14ac:dyDescent="0.3">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x14ac:dyDescent="0.3">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x14ac:dyDescent="0.3">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x14ac:dyDescent="0.3">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x14ac:dyDescent="0.3">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x14ac:dyDescent="0.3">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x14ac:dyDescent="0.3">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x14ac:dyDescent="0.3">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x14ac:dyDescent="0.3">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x14ac:dyDescent="0.3">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x14ac:dyDescent="0.3">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x14ac:dyDescent="0.3">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x14ac:dyDescent="0.3">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x14ac:dyDescent="0.3">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x14ac:dyDescent="0.3">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x14ac:dyDescent="0.3">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x14ac:dyDescent="0.3">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x14ac:dyDescent="0.3">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x14ac:dyDescent="0.3">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x14ac:dyDescent="0.3">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x14ac:dyDescent="0.3">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x14ac:dyDescent="0.3">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x14ac:dyDescent="0.3">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x14ac:dyDescent="0.3">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x14ac:dyDescent="0.3">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x14ac:dyDescent="0.3">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x14ac:dyDescent="0.3">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x14ac:dyDescent="0.3">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x14ac:dyDescent="0.3">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x14ac:dyDescent="0.3">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x14ac:dyDescent="0.3">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x14ac:dyDescent="0.3">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x14ac:dyDescent="0.3">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x14ac:dyDescent="0.3">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x14ac:dyDescent="0.3">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x14ac:dyDescent="0.3">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x14ac:dyDescent="0.3">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x14ac:dyDescent="0.3">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x14ac:dyDescent="0.3">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x14ac:dyDescent="0.3">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x14ac:dyDescent="0.3">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x14ac:dyDescent="0.3">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x14ac:dyDescent="0.3">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x14ac:dyDescent="0.3">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x14ac:dyDescent="0.3">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x14ac:dyDescent="0.3">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x14ac:dyDescent="0.3">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x14ac:dyDescent="0.3">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x14ac:dyDescent="0.3">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x14ac:dyDescent="0.3">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x14ac:dyDescent="0.3">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x14ac:dyDescent="0.3">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x14ac:dyDescent="0.3">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x14ac:dyDescent="0.3">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x14ac:dyDescent="0.3">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x14ac:dyDescent="0.3">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x14ac:dyDescent="0.3">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x14ac:dyDescent="0.3">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x14ac:dyDescent="0.3">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x14ac:dyDescent="0.3">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x14ac:dyDescent="0.3">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x14ac:dyDescent="0.3">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x14ac:dyDescent="0.3">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x14ac:dyDescent="0.3">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x14ac:dyDescent="0.3">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x14ac:dyDescent="0.3">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x14ac:dyDescent="0.3">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x14ac:dyDescent="0.3">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x14ac:dyDescent="0.3">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x14ac:dyDescent="0.3">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x14ac:dyDescent="0.3">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x14ac:dyDescent="0.3">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x14ac:dyDescent="0.3">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x14ac:dyDescent="0.3">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x14ac:dyDescent="0.3">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x14ac:dyDescent="0.3">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x14ac:dyDescent="0.3">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x14ac:dyDescent="0.3">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x14ac:dyDescent="0.3">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x14ac:dyDescent="0.3">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x14ac:dyDescent="0.3">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x14ac:dyDescent="0.3">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x14ac:dyDescent="0.3">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x14ac:dyDescent="0.3">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x14ac:dyDescent="0.3">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x14ac:dyDescent="0.3">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x14ac:dyDescent="0.3">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x14ac:dyDescent="0.3">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x14ac:dyDescent="0.3">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x14ac:dyDescent="0.3">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x14ac:dyDescent="0.3">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x14ac:dyDescent="0.3">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x14ac:dyDescent="0.3">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x14ac:dyDescent="0.3">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x14ac:dyDescent="0.3">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x14ac:dyDescent="0.3">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x14ac:dyDescent="0.3">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x14ac:dyDescent="0.3">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x14ac:dyDescent="0.3">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x14ac:dyDescent="0.3">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x14ac:dyDescent="0.3">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x14ac:dyDescent="0.3">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x14ac:dyDescent="0.3">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x14ac:dyDescent="0.3">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x14ac:dyDescent="0.3">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x14ac:dyDescent="0.3">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x14ac:dyDescent="0.3">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x14ac:dyDescent="0.3">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x14ac:dyDescent="0.3">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x14ac:dyDescent="0.3">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x14ac:dyDescent="0.3">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x14ac:dyDescent="0.3">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x14ac:dyDescent="0.3">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x14ac:dyDescent="0.3">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x14ac:dyDescent="0.3">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x14ac:dyDescent="0.3">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x14ac:dyDescent="0.3">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x14ac:dyDescent="0.3">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x14ac:dyDescent="0.3">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x14ac:dyDescent="0.3">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x14ac:dyDescent="0.3">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x14ac:dyDescent="0.3">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x14ac:dyDescent="0.3">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x14ac:dyDescent="0.3">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x14ac:dyDescent="0.3">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x14ac:dyDescent="0.3">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x14ac:dyDescent="0.3">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x14ac:dyDescent="0.3">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x14ac:dyDescent="0.3">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x14ac:dyDescent="0.3">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x14ac:dyDescent="0.3">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x14ac:dyDescent="0.3">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x14ac:dyDescent="0.3">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x14ac:dyDescent="0.3">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x14ac:dyDescent="0.3">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x14ac:dyDescent="0.3">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x14ac:dyDescent="0.3">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x14ac:dyDescent="0.3">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x14ac:dyDescent="0.3">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x14ac:dyDescent="0.3">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x14ac:dyDescent="0.3">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x14ac:dyDescent="0.3">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x14ac:dyDescent="0.3">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x14ac:dyDescent="0.3">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x14ac:dyDescent="0.3">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x14ac:dyDescent="0.3">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x14ac:dyDescent="0.3">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x14ac:dyDescent="0.3">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x14ac:dyDescent="0.3">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x14ac:dyDescent="0.3">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x14ac:dyDescent="0.3">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x14ac:dyDescent="0.3">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x14ac:dyDescent="0.3">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x14ac:dyDescent="0.3">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x14ac:dyDescent="0.3">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x14ac:dyDescent="0.3">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x14ac:dyDescent="0.3">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x14ac:dyDescent="0.3">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x14ac:dyDescent="0.3">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x14ac:dyDescent="0.3">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x14ac:dyDescent="0.3">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x14ac:dyDescent="0.3">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x14ac:dyDescent="0.3">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x14ac:dyDescent="0.3">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x14ac:dyDescent="0.3">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x14ac:dyDescent="0.3">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x14ac:dyDescent="0.3">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x14ac:dyDescent="0.3">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x14ac:dyDescent="0.3">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x14ac:dyDescent="0.3">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x14ac:dyDescent="0.3">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x14ac:dyDescent="0.3">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x14ac:dyDescent="0.3">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x14ac:dyDescent="0.3">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x14ac:dyDescent="0.3">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x14ac:dyDescent="0.3">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x14ac:dyDescent="0.3">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x14ac:dyDescent="0.3">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x14ac:dyDescent="0.3">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x14ac:dyDescent="0.3">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x14ac:dyDescent="0.3">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x14ac:dyDescent="0.3">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x14ac:dyDescent="0.3">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x14ac:dyDescent="0.3">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x14ac:dyDescent="0.3">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x14ac:dyDescent="0.3">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x14ac:dyDescent="0.3">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x14ac:dyDescent="0.3">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x14ac:dyDescent="0.3">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x14ac:dyDescent="0.3">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x14ac:dyDescent="0.3">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x14ac:dyDescent="0.3">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x14ac:dyDescent="0.3">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x14ac:dyDescent="0.3">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x14ac:dyDescent="0.3">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x14ac:dyDescent="0.3">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x14ac:dyDescent="0.3">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x14ac:dyDescent="0.3">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x14ac:dyDescent="0.3">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x14ac:dyDescent="0.3">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x14ac:dyDescent="0.3">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x14ac:dyDescent="0.3">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x14ac:dyDescent="0.3">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x14ac:dyDescent="0.3">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x14ac:dyDescent="0.3">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x14ac:dyDescent="0.3">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x14ac:dyDescent="0.3">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x14ac:dyDescent="0.3">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x14ac:dyDescent="0.3">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x14ac:dyDescent="0.3">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x14ac:dyDescent="0.3">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x14ac:dyDescent="0.3">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x14ac:dyDescent="0.3">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x14ac:dyDescent="0.3">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x14ac:dyDescent="0.3">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x14ac:dyDescent="0.3">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x14ac:dyDescent="0.3">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x14ac:dyDescent="0.3">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x14ac:dyDescent="0.3">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x14ac:dyDescent="0.3">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x14ac:dyDescent="0.3">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x14ac:dyDescent="0.3">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x14ac:dyDescent="0.3">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x14ac:dyDescent="0.3">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x14ac:dyDescent="0.3">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x14ac:dyDescent="0.3">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x14ac:dyDescent="0.3">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x14ac:dyDescent="0.3">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x14ac:dyDescent="0.3">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x14ac:dyDescent="0.3">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x14ac:dyDescent="0.3">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x14ac:dyDescent="0.3">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x14ac:dyDescent="0.3">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x14ac:dyDescent="0.3">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x14ac:dyDescent="0.3">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x14ac:dyDescent="0.3">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x14ac:dyDescent="0.3">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x14ac:dyDescent="0.3">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x14ac:dyDescent="0.3">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x14ac:dyDescent="0.3">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x14ac:dyDescent="0.3">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x14ac:dyDescent="0.3">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x14ac:dyDescent="0.3">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x14ac:dyDescent="0.3">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x14ac:dyDescent="0.3">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x14ac:dyDescent="0.3">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x14ac:dyDescent="0.3">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x14ac:dyDescent="0.3">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x14ac:dyDescent="0.3">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x14ac:dyDescent="0.3">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x14ac:dyDescent="0.3">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x14ac:dyDescent="0.3">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x14ac:dyDescent="0.3">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x14ac:dyDescent="0.3">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x14ac:dyDescent="0.3">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x14ac:dyDescent="0.3">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x14ac:dyDescent="0.3">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x14ac:dyDescent="0.3">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x14ac:dyDescent="0.3">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x14ac:dyDescent="0.3">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x14ac:dyDescent="0.3">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x14ac:dyDescent="0.3">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x14ac:dyDescent="0.3">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x14ac:dyDescent="0.3">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x14ac:dyDescent="0.3">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x14ac:dyDescent="0.3">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x14ac:dyDescent="0.3">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x14ac:dyDescent="0.3">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x14ac:dyDescent="0.3">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x14ac:dyDescent="0.3">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x14ac:dyDescent="0.3">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x14ac:dyDescent="0.3">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x14ac:dyDescent="0.3">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x14ac:dyDescent="0.3">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x14ac:dyDescent="0.3">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x14ac:dyDescent="0.3">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x14ac:dyDescent="0.3">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x14ac:dyDescent="0.3">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x14ac:dyDescent="0.3">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x14ac:dyDescent="0.3">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x14ac:dyDescent="0.3">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x14ac:dyDescent="0.3">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x14ac:dyDescent="0.3">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x14ac:dyDescent="0.3">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x14ac:dyDescent="0.3">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x14ac:dyDescent="0.3">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x14ac:dyDescent="0.3">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x14ac:dyDescent="0.3">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x14ac:dyDescent="0.3">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x14ac:dyDescent="0.3">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x14ac:dyDescent="0.3">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x14ac:dyDescent="0.3">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x14ac:dyDescent="0.3">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x14ac:dyDescent="0.3">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x14ac:dyDescent="0.3">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x14ac:dyDescent="0.3">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x14ac:dyDescent="0.3">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x14ac:dyDescent="0.3">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x14ac:dyDescent="0.3">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x14ac:dyDescent="0.3">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x14ac:dyDescent="0.3">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x14ac:dyDescent="0.3">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x14ac:dyDescent="0.3">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x14ac:dyDescent="0.3">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x14ac:dyDescent="0.3">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x14ac:dyDescent="0.3">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x14ac:dyDescent="0.3">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x14ac:dyDescent="0.3">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x14ac:dyDescent="0.3">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x14ac:dyDescent="0.3">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x14ac:dyDescent="0.3">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x14ac:dyDescent="0.3">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x14ac:dyDescent="0.3">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x14ac:dyDescent="0.3">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x14ac:dyDescent="0.3">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x14ac:dyDescent="0.3">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x14ac:dyDescent="0.3">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x14ac:dyDescent="0.3">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x14ac:dyDescent="0.3">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x14ac:dyDescent="0.3">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x14ac:dyDescent="0.3">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x14ac:dyDescent="0.3">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x14ac:dyDescent="0.3">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x14ac:dyDescent="0.3">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x14ac:dyDescent="0.3">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x14ac:dyDescent="0.3">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x14ac:dyDescent="0.3">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x14ac:dyDescent="0.3">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x14ac:dyDescent="0.3">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x14ac:dyDescent="0.3">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x14ac:dyDescent="0.3">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x14ac:dyDescent="0.3">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x14ac:dyDescent="0.3">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x14ac:dyDescent="0.3">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x14ac:dyDescent="0.3">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x14ac:dyDescent="0.3">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x14ac:dyDescent="0.3">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x14ac:dyDescent="0.3">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x14ac:dyDescent="0.3">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x14ac:dyDescent="0.3">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x14ac:dyDescent="0.3">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x14ac:dyDescent="0.3">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x14ac:dyDescent="0.3">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x14ac:dyDescent="0.3">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x14ac:dyDescent="0.3">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x14ac:dyDescent="0.3">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x14ac:dyDescent="0.3">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x14ac:dyDescent="0.3">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x14ac:dyDescent="0.3">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x14ac:dyDescent="0.3">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x14ac:dyDescent="0.3">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x14ac:dyDescent="0.3">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x14ac:dyDescent="0.3">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x14ac:dyDescent="0.3">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x14ac:dyDescent="0.3">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x14ac:dyDescent="0.3">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x14ac:dyDescent="0.3">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x14ac:dyDescent="0.3">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x14ac:dyDescent="0.3">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x14ac:dyDescent="0.3">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x14ac:dyDescent="0.3">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x14ac:dyDescent="0.3">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x14ac:dyDescent="0.3">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x14ac:dyDescent="0.3">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x14ac:dyDescent="0.3">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x14ac:dyDescent="0.3">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x14ac:dyDescent="0.3">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x14ac:dyDescent="0.3">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x14ac:dyDescent="0.3">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x14ac:dyDescent="0.3">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x14ac:dyDescent="0.3">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x14ac:dyDescent="0.3">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x14ac:dyDescent="0.3">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x14ac:dyDescent="0.3">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x14ac:dyDescent="0.3">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x14ac:dyDescent="0.3">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x14ac:dyDescent="0.3">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x14ac:dyDescent="0.3">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x14ac:dyDescent="0.3">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x14ac:dyDescent="0.3">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x14ac:dyDescent="0.3">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x14ac:dyDescent="0.3">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x14ac:dyDescent="0.3">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x14ac:dyDescent="0.3">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x14ac:dyDescent="0.3">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x14ac:dyDescent="0.3">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x14ac:dyDescent="0.3">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x14ac:dyDescent="0.3">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x14ac:dyDescent="0.3">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x14ac:dyDescent="0.3">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x14ac:dyDescent="0.3">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x14ac:dyDescent="0.3">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x14ac:dyDescent="0.3">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x14ac:dyDescent="0.3">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x14ac:dyDescent="0.3">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x14ac:dyDescent="0.3">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x14ac:dyDescent="0.3">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x14ac:dyDescent="0.3">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x14ac:dyDescent="0.3">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x14ac:dyDescent="0.3">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x14ac:dyDescent="0.3">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x14ac:dyDescent="0.3">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x14ac:dyDescent="0.3">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x14ac:dyDescent="0.3">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x14ac:dyDescent="0.3">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x14ac:dyDescent="0.3">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x14ac:dyDescent="0.3">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x14ac:dyDescent="0.3">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x14ac:dyDescent="0.3">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x14ac:dyDescent="0.3">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x14ac:dyDescent="0.3">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x14ac:dyDescent="0.3">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x14ac:dyDescent="0.3">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x14ac:dyDescent="0.3">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x14ac:dyDescent="0.3">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x14ac:dyDescent="0.3">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x14ac:dyDescent="0.3">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x14ac:dyDescent="0.3">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x14ac:dyDescent="0.3">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x14ac:dyDescent="0.3">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x14ac:dyDescent="0.3">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x14ac:dyDescent="0.3">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x14ac:dyDescent="0.3">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x14ac:dyDescent="0.3">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x14ac:dyDescent="0.3">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x14ac:dyDescent="0.3">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x14ac:dyDescent="0.3">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x14ac:dyDescent="0.3">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x14ac:dyDescent="0.3">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x14ac:dyDescent="0.3">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x14ac:dyDescent="0.3">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x14ac:dyDescent="0.3">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x14ac:dyDescent="0.3">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x14ac:dyDescent="0.3">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x14ac:dyDescent="0.3">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x14ac:dyDescent="0.3">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x14ac:dyDescent="0.3">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x14ac:dyDescent="0.3">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x14ac:dyDescent="0.3">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x14ac:dyDescent="0.3">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x14ac:dyDescent="0.3">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x14ac:dyDescent="0.3">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x14ac:dyDescent="0.3">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x14ac:dyDescent="0.3">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x14ac:dyDescent="0.3">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x14ac:dyDescent="0.3">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x14ac:dyDescent="0.3">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x14ac:dyDescent="0.3">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x14ac:dyDescent="0.3">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x14ac:dyDescent="0.3">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x14ac:dyDescent="0.3">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x14ac:dyDescent="0.3">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x14ac:dyDescent="0.3">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x14ac:dyDescent="0.3">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x14ac:dyDescent="0.3">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x14ac:dyDescent="0.3">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x14ac:dyDescent="0.3">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x14ac:dyDescent="0.3">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x14ac:dyDescent="0.3">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x14ac:dyDescent="0.3">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x14ac:dyDescent="0.3">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x14ac:dyDescent="0.3">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x14ac:dyDescent="0.3">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x14ac:dyDescent="0.3">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x14ac:dyDescent="0.3">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x14ac:dyDescent="0.3">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x14ac:dyDescent="0.3">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x14ac:dyDescent="0.3">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x14ac:dyDescent="0.3">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x14ac:dyDescent="0.3">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x14ac:dyDescent="0.3">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x14ac:dyDescent="0.3">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x14ac:dyDescent="0.3">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x14ac:dyDescent="0.3">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x14ac:dyDescent="0.3">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x14ac:dyDescent="0.3">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x14ac:dyDescent="0.3">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x14ac:dyDescent="0.3">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x14ac:dyDescent="0.3">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x14ac:dyDescent="0.3">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x14ac:dyDescent="0.3">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x14ac:dyDescent="0.3">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x14ac:dyDescent="0.3">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x14ac:dyDescent="0.3">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x14ac:dyDescent="0.3">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x14ac:dyDescent="0.3">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x14ac:dyDescent="0.3">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x14ac:dyDescent="0.3">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x14ac:dyDescent="0.3">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x14ac:dyDescent="0.3">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x14ac:dyDescent="0.3">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x14ac:dyDescent="0.3">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x14ac:dyDescent="0.3">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x14ac:dyDescent="0.3">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x14ac:dyDescent="0.3">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x14ac:dyDescent="0.3">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x14ac:dyDescent="0.3">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x14ac:dyDescent="0.3">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x14ac:dyDescent="0.3">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x14ac:dyDescent="0.3">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x14ac:dyDescent="0.3">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x14ac:dyDescent="0.3">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x14ac:dyDescent="0.3">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x14ac:dyDescent="0.3">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x14ac:dyDescent="0.3">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x14ac:dyDescent="0.3">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x14ac:dyDescent="0.3">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x14ac:dyDescent="0.3">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x14ac:dyDescent="0.3">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x14ac:dyDescent="0.3">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x14ac:dyDescent="0.3">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x14ac:dyDescent="0.3">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x14ac:dyDescent="0.3">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x14ac:dyDescent="0.3">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x14ac:dyDescent="0.3">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x14ac:dyDescent="0.3">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x14ac:dyDescent="0.3">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x14ac:dyDescent="0.3">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x14ac:dyDescent="0.3">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x14ac:dyDescent="0.3">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x14ac:dyDescent="0.3">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x14ac:dyDescent="0.3">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x14ac:dyDescent="0.3">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x14ac:dyDescent="0.3">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x14ac:dyDescent="0.3">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x14ac:dyDescent="0.3">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x14ac:dyDescent="0.3">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x14ac:dyDescent="0.3">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x14ac:dyDescent="0.3">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x14ac:dyDescent="0.3">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x14ac:dyDescent="0.3">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x14ac:dyDescent="0.3">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x14ac:dyDescent="0.3">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x14ac:dyDescent="0.3">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x14ac:dyDescent="0.3">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x14ac:dyDescent="0.3">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x14ac:dyDescent="0.3">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x14ac:dyDescent="0.3">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x14ac:dyDescent="0.3">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x14ac:dyDescent="0.3">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x14ac:dyDescent="0.3">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x14ac:dyDescent="0.3">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x14ac:dyDescent="0.3">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x14ac:dyDescent="0.3">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x14ac:dyDescent="0.3">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x14ac:dyDescent="0.3">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x14ac:dyDescent="0.3">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x14ac:dyDescent="0.3">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x14ac:dyDescent="0.3">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x14ac:dyDescent="0.3">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x14ac:dyDescent="0.3">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x14ac:dyDescent="0.3">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x14ac:dyDescent="0.3">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x14ac:dyDescent="0.3">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x14ac:dyDescent="0.3">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x14ac:dyDescent="0.3">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x14ac:dyDescent="0.3">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x14ac:dyDescent="0.3">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x14ac:dyDescent="0.3">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x14ac:dyDescent="0.3">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x14ac:dyDescent="0.3">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x14ac:dyDescent="0.3">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x14ac:dyDescent="0.3">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x14ac:dyDescent="0.3">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x14ac:dyDescent="0.3">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x14ac:dyDescent="0.3">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x14ac:dyDescent="0.3">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x14ac:dyDescent="0.3">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x14ac:dyDescent="0.3">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x14ac:dyDescent="0.3">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x14ac:dyDescent="0.3">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x14ac:dyDescent="0.3">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x14ac:dyDescent="0.3">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x14ac:dyDescent="0.3">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x14ac:dyDescent="0.3">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x14ac:dyDescent="0.3">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x14ac:dyDescent="0.3">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x14ac:dyDescent="0.3">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x14ac:dyDescent="0.3">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x14ac:dyDescent="0.3">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x14ac:dyDescent="0.3">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x14ac:dyDescent="0.3">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x14ac:dyDescent="0.3">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x14ac:dyDescent="0.3">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x14ac:dyDescent="0.3">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x14ac:dyDescent="0.3">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x14ac:dyDescent="0.3">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x14ac:dyDescent="0.3">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x14ac:dyDescent="0.3">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x14ac:dyDescent="0.3">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x14ac:dyDescent="0.3">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x14ac:dyDescent="0.3">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x14ac:dyDescent="0.3">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x14ac:dyDescent="0.3">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x14ac:dyDescent="0.3">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x14ac:dyDescent="0.3">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x14ac:dyDescent="0.3">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x14ac:dyDescent="0.3">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x14ac:dyDescent="0.3">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x14ac:dyDescent="0.3">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x14ac:dyDescent="0.3">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x14ac:dyDescent="0.3">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x14ac:dyDescent="0.3">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x14ac:dyDescent="0.3">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x14ac:dyDescent="0.3">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x14ac:dyDescent="0.3">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x14ac:dyDescent="0.3">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x14ac:dyDescent="0.3">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x14ac:dyDescent="0.3">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x14ac:dyDescent="0.3">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x14ac:dyDescent="0.3">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x14ac:dyDescent="0.3">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x14ac:dyDescent="0.3">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x14ac:dyDescent="0.3">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x14ac:dyDescent="0.3">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x14ac:dyDescent="0.3">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x14ac:dyDescent="0.3">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x14ac:dyDescent="0.3">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x14ac:dyDescent="0.3">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x14ac:dyDescent="0.3">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x14ac:dyDescent="0.3">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x14ac:dyDescent="0.3">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x14ac:dyDescent="0.3">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x14ac:dyDescent="0.3">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x14ac:dyDescent="0.3">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x14ac:dyDescent="0.3">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x14ac:dyDescent="0.3">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x14ac:dyDescent="0.3">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x14ac:dyDescent="0.3">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x14ac:dyDescent="0.3">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x14ac:dyDescent="0.3">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x14ac:dyDescent="0.3">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x14ac:dyDescent="0.3">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x14ac:dyDescent="0.3">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x14ac:dyDescent="0.3">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x14ac:dyDescent="0.3">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x14ac:dyDescent="0.3">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x14ac:dyDescent="0.3">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x14ac:dyDescent="0.3">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x14ac:dyDescent="0.3">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x14ac:dyDescent="0.3">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x14ac:dyDescent="0.3">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x14ac:dyDescent="0.3">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x14ac:dyDescent="0.3">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x14ac:dyDescent="0.3">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x14ac:dyDescent="0.3">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x14ac:dyDescent="0.3">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x14ac:dyDescent="0.3">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x14ac:dyDescent="0.3">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x14ac:dyDescent="0.3">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x14ac:dyDescent="0.3">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x14ac:dyDescent="0.3">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x14ac:dyDescent="0.3">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x14ac:dyDescent="0.3">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x14ac:dyDescent="0.3">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x14ac:dyDescent="0.3">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x14ac:dyDescent="0.3">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x14ac:dyDescent="0.3">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x14ac:dyDescent="0.3">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x14ac:dyDescent="0.3">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x14ac:dyDescent="0.3">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x14ac:dyDescent="0.3">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x14ac:dyDescent="0.3">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x14ac:dyDescent="0.3">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x14ac:dyDescent="0.3">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x14ac:dyDescent="0.3">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x14ac:dyDescent="0.3">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x14ac:dyDescent="0.3">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x14ac:dyDescent="0.3">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x14ac:dyDescent="0.3">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x14ac:dyDescent="0.3">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x14ac:dyDescent="0.3">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x14ac:dyDescent="0.3">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x14ac:dyDescent="0.3">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x14ac:dyDescent="0.3">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x14ac:dyDescent="0.3">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x14ac:dyDescent="0.3">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x14ac:dyDescent="0.3">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x14ac:dyDescent="0.3">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x14ac:dyDescent="0.3">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x14ac:dyDescent="0.3">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x14ac:dyDescent="0.3">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x14ac:dyDescent="0.3">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x14ac:dyDescent="0.3">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x14ac:dyDescent="0.3">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x14ac:dyDescent="0.3">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x14ac:dyDescent="0.3">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x14ac:dyDescent="0.3">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x14ac:dyDescent="0.3">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x14ac:dyDescent="0.3">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x14ac:dyDescent="0.3">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x14ac:dyDescent="0.3">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x14ac:dyDescent="0.3">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x14ac:dyDescent="0.3">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x14ac:dyDescent="0.3">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x14ac:dyDescent="0.3">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x14ac:dyDescent="0.3">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x14ac:dyDescent="0.3">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x14ac:dyDescent="0.3">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x14ac:dyDescent="0.3">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x14ac:dyDescent="0.3">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x14ac:dyDescent="0.3">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x14ac:dyDescent="0.3">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x14ac:dyDescent="0.3">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x14ac:dyDescent="0.3">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x14ac:dyDescent="0.3">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x14ac:dyDescent="0.3">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x14ac:dyDescent="0.3">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x14ac:dyDescent="0.3">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x14ac:dyDescent="0.3">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x14ac:dyDescent="0.3">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x14ac:dyDescent="0.3">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x14ac:dyDescent="0.3">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x14ac:dyDescent="0.3">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x14ac:dyDescent="0.3">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x14ac:dyDescent="0.3">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x14ac:dyDescent="0.3">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x14ac:dyDescent="0.3">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x14ac:dyDescent="0.3">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x14ac:dyDescent="0.3">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x14ac:dyDescent="0.3">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x14ac:dyDescent="0.3">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x14ac:dyDescent="0.3">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x14ac:dyDescent="0.3">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x14ac:dyDescent="0.3">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x14ac:dyDescent="0.3">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x14ac:dyDescent="0.3">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x14ac:dyDescent="0.3">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x14ac:dyDescent="0.3">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x14ac:dyDescent="0.3">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x14ac:dyDescent="0.3">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x14ac:dyDescent="0.3">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x14ac:dyDescent="0.3">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x14ac:dyDescent="0.3">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x14ac:dyDescent="0.3">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x14ac:dyDescent="0.3">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x14ac:dyDescent="0.3">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x14ac:dyDescent="0.3">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x14ac:dyDescent="0.3">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x14ac:dyDescent="0.3">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x14ac:dyDescent="0.3">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x14ac:dyDescent="0.3">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x14ac:dyDescent="0.3">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x14ac:dyDescent="0.3">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x14ac:dyDescent="0.3">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x14ac:dyDescent="0.3">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x14ac:dyDescent="0.3">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x14ac:dyDescent="0.3">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x14ac:dyDescent="0.3">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x14ac:dyDescent="0.3">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x14ac:dyDescent="0.3">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x14ac:dyDescent="0.3">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x14ac:dyDescent="0.3">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x14ac:dyDescent="0.3">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x14ac:dyDescent="0.3">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x14ac:dyDescent="0.3">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x14ac:dyDescent="0.3">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x14ac:dyDescent="0.3">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x14ac:dyDescent="0.3">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x14ac:dyDescent="0.3">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x14ac:dyDescent="0.3">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x14ac:dyDescent="0.3">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x14ac:dyDescent="0.3">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x14ac:dyDescent="0.3">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x14ac:dyDescent="0.3">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x14ac:dyDescent="0.3">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x14ac:dyDescent="0.3">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x14ac:dyDescent="0.3">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x14ac:dyDescent="0.3">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x14ac:dyDescent="0.3">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x14ac:dyDescent="0.3">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x14ac:dyDescent="0.3">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x14ac:dyDescent="0.3">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x14ac:dyDescent="0.3">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x14ac:dyDescent="0.3">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x14ac:dyDescent="0.3">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x14ac:dyDescent="0.3">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x14ac:dyDescent="0.3">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x14ac:dyDescent="0.3">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x14ac:dyDescent="0.3">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x14ac:dyDescent="0.3">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x14ac:dyDescent="0.3">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x14ac:dyDescent="0.3">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x14ac:dyDescent="0.3">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x14ac:dyDescent="0.3">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x14ac:dyDescent="0.3">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x14ac:dyDescent="0.3">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x14ac:dyDescent="0.3">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x14ac:dyDescent="0.3">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x14ac:dyDescent="0.3">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x14ac:dyDescent="0.3">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x14ac:dyDescent="0.3">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x14ac:dyDescent="0.3">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x14ac:dyDescent="0.3">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x14ac:dyDescent="0.3">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x14ac:dyDescent="0.3">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x14ac:dyDescent="0.3">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x14ac:dyDescent="0.3">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x14ac:dyDescent="0.3">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x14ac:dyDescent="0.3">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x14ac:dyDescent="0.3">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x14ac:dyDescent="0.3">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x14ac:dyDescent="0.3">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x14ac:dyDescent="0.3">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x14ac:dyDescent="0.3">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x14ac:dyDescent="0.3">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x14ac:dyDescent="0.3">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x14ac:dyDescent="0.3">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x14ac:dyDescent="0.3">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x14ac:dyDescent="0.3">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x14ac:dyDescent="0.3">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x14ac:dyDescent="0.3">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x14ac:dyDescent="0.3">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x14ac:dyDescent="0.3">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x14ac:dyDescent="0.3">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x14ac:dyDescent="0.3">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x14ac:dyDescent="0.3">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x14ac:dyDescent="0.3">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x14ac:dyDescent="0.3">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x14ac:dyDescent="0.3">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x14ac:dyDescent="0.3">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x14ac:dyDescent="0.3">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x14ac:dyDescent="0.3">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x14ac:dyDescent="0.3">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x14ac:dyDescent="0.3">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x14ac:dyDescent="0.3">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x14ac:dyDescent="0.3">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x14ac:dyDescent="0.3">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x14ac:dyDescent="0.3">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x14ac:dyDescent="0.3">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x14ac:dyDescent="0.3">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x14ac:dyDescent="0.3">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x14ac:dyDescent="0.3">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x14ac:dyDescent="0.3">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x14ac:dyDescent="0.3">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x14ac:dyDescent="0.3">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x14ac:dyDescent="0.3">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x14ac:dyDescent="0.3">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x14ac:dyDescent="0.3">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x14ac:dyDescent="0.3">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x14ac:dyDescent="0.3">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x14ac:dyDescent="0.3">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x14ac:dyDescent="0.3">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x14ac:dyDescent="0.3">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x14ac:dyDescent="0.3">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x14ac:dyDescent="0.3">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x14ac:dyDescent="0.3">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x14ac:dyDescent="0.3">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x14ac:dyDescent="0.3">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x14ac:dyDescent="0.3">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x14ac:dyDescent="0.3">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x14ac:dyDescent="0.3">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x14ac:dyDescent="0.3">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x14ac:dyDescent="0.3">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x14ac:dyDescent="0.3">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x14ac:dyDescent="0.3">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x14ac:dyDescent="0.3">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x14ac:dyDescent="0.3">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x14ac:dyDescent="0.3">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x14ac:dyDescent="0.3">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x14ac:dyDescent="0.3">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x14ac:dyDescent="0.3">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x14ac:dyDescent="0.3">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x14ac:dyDescent="0.3">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x14ac:dyDescent="0.3">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x14ac:dyDescent="0.3">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x14ac:dyDescent="0.3">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x14ac:dyDescent="0.3">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x14ac:dyDescent="0.3">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x14ac:dyDescent="0.3">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x14ac:dyDescent="0.3">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x14ac:dyDescent="0.3">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x14ac:dyDescent="0.3">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x14ac:dyDescent="0.3">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x14ac:dyDescent="0.3">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x14ac:dyDescent="0.3">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x14ac:dyDescent="0.3">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x14ac:dyDescent="0.3">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x14ac:dyDescent="0.3">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x14ac:dyDescent="0.3">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x14ac:dyDescent="0.3">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x14ac:dyDescent="0.3">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x14ac:dyDescent="0.3">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x14ac:dyDescent="0.3">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x14ac:dyDescent="0.3">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x14ac:dyDescent="0.3">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x14ac:dyDescent="0.3">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x14ac:dyDescent="0.3">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x14ac:dyDescent="0.3">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x14ac:dyDescent="0.3">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x14ac:dyDescent="0.3">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x14ac:dyDescent="0.3">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x14ac:dyDescent="0.3">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x14ac:dyDescent="0.3">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x14ac:dyDescent="0.3">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x14ac:dyDescent="0.3">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x14ac:dyDescent="0.3">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x14ac:dyDescent="0.3">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x14ac:dyDescent="0.3">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x14ac:dyDescent="0.3">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x14ac:dyDescent="0.3">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x14ac:dyDescent="0.3">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x14ac:dyDescent="0.3">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x14ac:dyDescent="0.3">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x14ac:dyDescent="0.3">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x14ac:dyDescent="0.3">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x14ac:dyDescent="0.3">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x14ac:dyDescent="0.3">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x14ac:dyDescent="0.3">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x14ac:dyDescent="0.3">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x14ac:dyDescent="0.3">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x14ac:dyDescent="0.3">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x14ac:dyDescent="0.3">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x14ac:dyDescent="0.3">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x14ac:dyDescent="0.3">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x14ac:dyDescent="0.3">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x14ac:dyDescent="0.3">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x14ac:dyDescent="0.3">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x14ac:dyDescent="0.3">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x14ac:dyDescent="0.3">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x14ac:dyDescent="0.3">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x14ac:dyDescent="0.3">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x14ac:dyDescent="0.3">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x14ac:dyDescent="0.3">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x14ac:dyDescent="0.3">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x14ac:dyDescent="0.3">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x14ac:dyDescent="0.3">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x14ac:dyDescent="0.3">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x14ac:dyDescent="0.3">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x14ac:dyDescent="0.3">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x14ac:dyDescent="0.3">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x14ac:dyDescent="0.3">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x14ac:dyDescent="0.3">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x14ac:dyDescent="0.3">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x14ac:dyDescent="0.3">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x14ac:dyDescent="0.3">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x14ac:dyDescent="0.3">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x14ac:dyDescent="0.3">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x14ac:dyDescent="0.3">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x14ac:dyDescent="0.3">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x14ac:dyDescent="0.3">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x14ac:dyDescent="0.3">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x14ac:dyDescent="0.3">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x14ac:dyDescent="0.3">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x14ac:dyDescent="0.3">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x14ac:dyDescent="0.3">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x14ac:dyDescent="0.3">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x14ac:dyDescent="0.3">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x14ac:dyDescent="0.3">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x14ac:dyDescent="0.3">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x14ac:dyDescent="0.3">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x14ac:dyDescent="0.3">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x14ac:dyDescent="0.3">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x14ac:dyDescent="0.3">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x14ac:dyDescent="0.3">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x14ac:dyDescent="0.3">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x14ac:dyDescent="0.3">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x14ac:dyDescent="0.3">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x14ac:dyDescent="0.3">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x14ac:dyDescent="0.3">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x14ac:dyDescent="0.3">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x14ac:dyDescent="0.3">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x14ac:dyDescent="0.3">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x14ac:dyDescent="0.3">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x14ac:dyDescent="0.3">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x14ac:dyDescent="0.3">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x14ac:dyDescent="0.3">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x14ac:dyDescent="0.3">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x14ac:dyDescent="0.3">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x14ac:dyDescent="0.3">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x14ac:dyDescent="0.3">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x14ac:dyDescent="0.3">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x14ac:dyDescent="0.3">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x14ac:dyDescent="0.3">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x14ac:dyDescent="0.3">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x14ac:dyDescent="0.3">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x14ac:dyDescent="0.3">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x14ac:dyDescent="0.3">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x14ac:dyDescent="0.3">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x14ac:dyDescent="0.3">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x14ac:dyDescent="0.3">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x14ac:dyDescent="0.3">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x14ac:dyDescent="0.3">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x14ac:dyDescent="0.3">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x14ac:dyDescent="0.3">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x14ac:dyDescent="0.3">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x14ac:dyDescent="0.3">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x14ac:dyDescent="0.3">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x14ac:dyDescent="0.3">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x14ac:dyDescent="0.3">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x14ac:dyDescent="0.3">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x14ac:dyDescent="0.3">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x14ac:dyDescent="0.3">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x14ac:dyDescent="0.3">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x14ac:dyDescent="0.3">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x14ac:dyDescent="0.3">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x14ac:dyDescent="0.3">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x14ac:dyDescent="0.3">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x14ac:dyDescent="0.3">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x14ac:dyDescent="0.3">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x14ac:dyDescent="0.3">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x14ac:dyDescent="0.3">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x14ac:dyDescent="0.3">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x14ac:dyDescent="0.3">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x14ac:dyDescent="0.3">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x14ac:dyDescent="0.3">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x14ac:dyDescent="0.3">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x14ac:dyDescent="0.3">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x14ac:dyDescent="0.3">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x14ac:dyDescent="0.3">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x14ac:dyDescent="0.3">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x14ac:dyDescent="0.3">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x14ac:dyDescent="0.3">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x14ac:dyDescent="0.3">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x14ac:dyDescent="0.3">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x14ac:dyDescent="0.3">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x14ac:dyDescent="0.3">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x14ac:dyDescent="0.3">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x14ac:dyDescent="0.3">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x14ac:dyDescent="0.3">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x14ac:dyDescent="0.3">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x14ac:dyDescent="0.3">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x14ac:dyDescent="0.3">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x14ac:dyDescent="0.3">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x14ac:dyDescent="0.3">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x14ac:dyDescent="0.3">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x14ac:dyDescent="0.3">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x14ac:dyDescent="0.3">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x14ac:dyDescent="0.3">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x14ac:dyDescent="0.3">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x14ac:dyDescent="0.3">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x14ac:dyDescent="0.3">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x14ac:dyDescent="0.3">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x14ac:dyDescent="0.3">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x14ac:dyDescent="0.3">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x14ac:dyDescent="0.3">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x14ac:dyDescent="0.3">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x14ac:dyDescent="0.3">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x14ac:dyDescent="0.3">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x14ac:dyDescent="0.3">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x14ac:dyDescent="0.3">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x14ac:dyDescent="0.3">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x14ac:dyDescent="0.3">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x14ac:dyDescent="0.3">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x14ac:dyDescent="0.3">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x14ac:dyDescent="0.3">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x14ac:dyDescent="0.3">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x14ac:dyDescent="0.3">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x14ac:dyDescent="0.3">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x14ac:dyDescent="0.3">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x14ac:dyDescent="0.3">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x14ac:dyDescent="0.3">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x14ac:dyDescent="0.3">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x14ac:dyDescent="0.3">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x14ac:dyDescent="0.3">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x14ac:dyDescent="0.3">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x14ac:dyDescent="0.3">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x14ac:dyDescent="0.3">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x14ac:dyDescent="0.3">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x14ac:dyDescent="0.3">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x14ac:dyDescent="0.3">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x14ac:dyDescent="0.3">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x14ac:dyDescent="0.3">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x14ac:dyDescent="0.3">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x14ac:dyDescent="0.3">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x14ac:dyDescent="0.3">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x14ac:dyDescent="0.3">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x14ac:dyDescent="0.3">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x14ac:dyDescent="0.3">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x14ac:dyDescent="0.3">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x14ac:dyDescent="0.3">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x14ac:dyDescent="0.3">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x14ac:dyDescent="0.3">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x14ac:dyDescent="0.3">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x14ac:dyDescent="0.3">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x14ac:dyDescent="0.3">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x14ac:dyDescent="0.3">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x14ac:dyDescent="0.3">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x14ac:dyDescent="0.3">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x14ac:dyDescent="0.3">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x14ac:dyDescent="0.3">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x14ac:dyDescent="0.3">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x14ac:dyDescent="0.3">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x14ac:dyDescent="0.3">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x14ac:dyDescent="0.3">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x14ac:dyDescent="0.3">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x14ac:dyDescent="0.3">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x14ac:dyDescent="0.3">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x14ac:dyDescent="0.3">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x14ac:dyDescent="0.3">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x14ac:dyDescent="0.3">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x14ac:dyDescent="0.3">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x14ac:dyDescent="0.3">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x14ac:dyDescent="0.3">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x14ac:dyDescent="0.3">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x14ac:dyDescent="0.3">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x14ac:dyDescent="0.3">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x14ac:dyDescent="0.3">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x14ac:dyDescent="0.3">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x14ac:dyDescent="0.3">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x14ac:dyDescent="0.3">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x14ac:dyDescent="0.3">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x14ac:dyDescent="0.3">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x14ac:dyDescent="0.3">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x14ac:dyDescent="0.3">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x14ac:dyDescent="0.3">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x14ac:dyDescent="0.3">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x14ac:dyDescent="0.3">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x14ac:dyDescent="0.3">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x14ac:dyDescent="0.3">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x14ac:dyDescent="0.3">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x14ac:dyDescent="0.3">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x14ac:dyDescent="0.3">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x14ac:dyDescent="0.3">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x14ac:dyDescent="0.3">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x14ac:dyDescent="0.3">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x14ac:dyDescent="0.3">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x14ac:dyDescent="0.3">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x14ac:dyDescent="0.3">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x14ac:dyDescent="0.3">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x14ac:dyDescent="0.3">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x14ac:dyDescent="0.3">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x14ac:dyDescent="0.3">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x14ac:dyDescent="0.3">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x14ac:dyDescent="0.3">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x14ac:dyDescent="0.3">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x14ac:dyDescent="0.3">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x14ac:dyDescent="0.3">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x14ac:dyDescent="0.3">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x14ac:dyDescent="0.3">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x14ac:dyDescent="0.3">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x14ac:dyDescent="0.3">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x14ac:dyDescent="0.3">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x14ac:dyDescent="0.3">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x14ac:dyDescent="0.3">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x14ac:dyDescent="0.3">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x14ac:dyDescent="0.3">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x14ac:dyDescent="0.3">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x14ac:dyDescent="0.3">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x14ac:dyDescent="0.3">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x14ac:dyDescent="0.3">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x14ac:dyDescent="0.3">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x14ac:dyDescent="0.3">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x14ac:dyDescent="0.3">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x14ac:dyDescent="0.3">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x14ac:dyDescent="0.3">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x14ac:dyDescent="0.3">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x14ac:dyDescent="0.3">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x14ac:dyDescent="0.3">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x14ac:dyDescent="0.3">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x14ac:dyDescent="0.3">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x14ac:dyDescent="0.3">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x14ac:dyDescent="0.3">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x14ac:dyDescent="0.3">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x14ac:dyDescent="0.3">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x14ac:dyDescent="0.3">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x14ac:dyDescent="0.3">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x14ac:dyDescent="0.3">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x14ac:dyDescent="0.3">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x14ac:dyDescent="0.3">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x14ac:dyDescent="0.3">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x14ac:dyDescent="0.3">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x14ac:dyDescent="0.3">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x14ac:dyDescent="0.3">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x14ac:dyDescent="0.3">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x14ac:dyDescent="0.3">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x14ac:dyDescent="0.3">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x14ac:dyDescent="0.3">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x14ac:dyDescent="0.3">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x14ac:dyDescent="0.3">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x14ac:dyDescent="0.3">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x14ac:dyDescent="0.3">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x14ac:dyDescent="0.3">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x14ac:dyDescent="0.3">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x14ac:dyDescent="0.3">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x14ac:dyDescent="0.3">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x14ac:dyDescent="0.3">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x14ac:dyDescent="0.3">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x14ac:dyDescent="0.3">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x14ac:dyDescent="0.3">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x14ac:dyDescent="0.3">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x14ac:dyDescent="0.3">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x14ac:dyDescent="0.3">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x14ac:dyDescent="0.3">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x14ac:dyDescent="0.3">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x14ac:dyDescent="0.3">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x14ac:dyDescent="0.3">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x14ac:dyDescent="0.3">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x14ac:dyDescent="0.3">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x14ac:dyDescent="0.3">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x14ac:dyDescent="0.3">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x14ac:dyDescent="0.3">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x14ac:dyDescent="0.3">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x14ac:dyDescent="0.3">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x14ac:dyDescent="0.3">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x14ac:dyDescent="0.3">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x14ac:dyDescent="0.3">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x14ac:dyDescent="0.3">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x14ac:dyDescent="0.3">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x14ac:dyDescent="0.3">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x14ac:dyDescent="0.3">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x14ac:dyDescent="0.3">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x14ac:dyDescent="0.3">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x14ac:dyDescent="0.3">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x14ac:dyDescent="0.3">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x14ac:dyDescent="0.3">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x14ac:dyDescent="0.3">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x14ac:dyDescent="0.3">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x14ac:dyDescent="0.3">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x14ac:dyDescent="0.3">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x14ac:dyDescent="0.3">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x14ac:dyDescent="0.3">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x14ac:dyDescent="0.3">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x14ac:dyDescent="0.3">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x14ac:dyDescent="0.3">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x14ac:dyDescent="0.3">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x14ac:dyDescent="0.3">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x14ac:dyDescent="0.3">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x14ac:dyDescent="0.3">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x14ac:dyDescent="0.3">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x14ac:dyDescent="0.3">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x14ac:dyDescent="0.3">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x14ac:dyDescent="0.3">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x14ac:dyDescent="0.3">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x14ac:dyDescent="0.3">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x14ac:dyDescent="0.3">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x14ac:dyDescent="0.3">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x14ac:dyDescent="0.3">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x14ac:dyDescent="0.3">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x14ac:dyDescent="0.3">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x14ac:dyDescent="0.3">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x14ac:dyDescent="0.3">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x14ac:dyDescent="0.3">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x14ac:dyDescent="0.3">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x14ac:dyDescent="0.3">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x14ac:dyDescent="0.3">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x14ac:dyDescent="0.3">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x14ac:dyDescent="0.3">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x14ac:dyDescent="0.3">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x14ac:dyDescent="0.3">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x14ac:dyDescent="0.3">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x14ac:dyDescent="0.3">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x14ac:dyDescent="0.3">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x14ac:dyDescent="0.3">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x14ac:dyDescent="0.3">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x14ac:dyDescent="0.3">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x14ac:dyDescent="0.3">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x14ac:dyDescent="0.3">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x14ac:dyDescent="0.3">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x14ac:dyDescent="0.3">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x14ac:dyDescent="0.3">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x14ac:dyDescent="0.3">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x14ac:dyDescent="0.3">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x14ac:dyDescent="0.3">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x14ac:dyDescent="0.3">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x14ac:dyDescent="0.3">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x14ac:dyDescent="0.3">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x14ac:dyDescent="0.3">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x14ac:dyDescent="0.3">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x14ac:dyDescent="0.3">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x14ac:dyDescent="0.3">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x14ac:dyDescent="0.3">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x14ac:dyDescent="0.3">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x14ac:dyDescent="0.3">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x14ac:dyDescent="0.3">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x14ac:dyDescent="0.3">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x14ac:dyDescent="0.3">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x14ac:dyDescent="0.3">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x14ac:dyDescent="0.3">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x14ac:dyDescent="0.3">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x14ac:dyDescent="0.3">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x14ac:dyDescent="0.3">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x14ac:dyDescent="0.3">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x14ac:dyDescent="0.3">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x14ac:dyDescent="0.3">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x14ac:dyDescent="0.3">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x14ac:dyDescent="0.3">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x14ac:dyDescent="0.3">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x14ac:dyDescent="0.3">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x14ac:dyDescent="0.3">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x14ac:dyDescent="0.3">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x14ac:dyDescent="0.3">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x14ac:dyDescent="0.3">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x14ac:dyDescent="0.3">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x14ac:dyDescent="0.3">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x14ac:dyDescent="0.3">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x14ac:dyDescent="0.3">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x14ac:dyDescent="0.3">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x14ac:dyDescent="0.3">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x14ac:dyDescent="0.3">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x14ac:dyDescent="0.3">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x14ac:dyDescent="0.3">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x14ac:dyDescent="0.3">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x14ac:dyDescent="0.3">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x14ac:dyDescent="0.3">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x14ac:dyDescent="0.3">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x14ac:dyDescent="0.3">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x14ac:dyDescent="0.3">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x14ac:dyDescent="0.3">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x14ac:dyDescent="0.3">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x14ac:dyDescent="0.3">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x14ac:dyDescent="0.3">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x14ac:dyDescent="0.3">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x14ac:dyDescent="0.3">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x14ac:dyDescent="0.3">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x14ac:dyDescent="0.3">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x14ac:dyDescent="0.3">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x14ac:dyDescent="0.3">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x14ac:dyDescent="0.3">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x14ac:dyDescent="0.3">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x14ac:dyDescent="0.3">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x14ac:dyDescent="0.3">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x14ac:dyDescent="0.3">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x14ac:dyDescent="0.3">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x14ac:dyDescent="0.3">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x14ac:dyDescent="0.3">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x14ac:dyDescent="0.3">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x14ac:dyDescent="0.3">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x14ac:dyDescent="0.3">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x14ac:dyDescent="0.3">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x14ac:dyDescent="0.3">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x14ac:dyDescent="0.3">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x14ac:dyDescent="0.3">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x14ac:dyDescent="0.3">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x14ac:dyDescent="0.3">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x14ac:dyDescent="0.3">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x14ac:dyDescent="0.3">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x14ac:dyDescent="0.3">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x14ac:dyDescent="0.3">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x14ac:dyDescent="0.3">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x14ac:dyDescent="0.3">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x14ac:dyDescent="0.3">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x14ac:dyDescent="0.3">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x14ac:dyDescent="0.3">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x14ac:dyDescent="0.3">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x14ac:dyDescent="0.3">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x14ac:dyDescent="0.3">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x14ac:dyDescent="0.3">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x14ac:dyDescent="0.3">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x14ac:dyDescent="0.3">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x14ac:dyDescent="0.3">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x14ac:dyDescent="0.3">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x14ac:dyDescent="0.3">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x14ac:dyDescent="0.3">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x14ac:dyDescent="0.3">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x14ac:dyDescent="0.3">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x14ac:dyDescent="0.3">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x14ac:dyDescent="0.3">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x14ac:dyDescent="0.3">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x14ac:dyDescent="0.3">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x14ac:dyDescent="0.3">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x14ac:dyDescent="0.3">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x14ac:dyDescent="0.3">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x14ac:dyDescent="0.3">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x14ac:dyDescent="0.3">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x14ac:dyDescent="0.3">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x14ac:dyDescent="0.3">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x14ac:dyDescent="0.3">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x14ac:dyDescent="0.3">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x14ac:dyDescent="0.3">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x14ac:dyDescent="0.3">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x14ac:dyDescent="0.3">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x14ac:dyDescent="0.3">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x14ac:dyDescent="0.3">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x14ac:dyDescent="0.3">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x14ac:dyDescent="0.3">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x14ac:dyDescent="0.3">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x14ac:dyDescent="0.3">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x14ac:dyDescent="0.3">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x14ac:dyDescent="0.3">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x14ac:dyDescent="0.3">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x14ac:dyDescent="0.3">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x14ac:dyDescent="0.3">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x14ac:dyDescent="0.3">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x14ac:dyDescent="0.3">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x14ac:dyDescent="0.3">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x14ac:dyDescent="0.3">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x14ac:dyDescent="0.3">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x14ac:dyDescent="0.3">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x14ac:dyDescent="0.3">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x14ac:dyDescent="0.3">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x14ac:dyDescent="0.3">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x14ac:dyDescent="0.3">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x14ac:dyDescent="0.3">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x14ac:dyDescent="0.3">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x14ac:dyDescent="0.3">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x14ac:dyDescent="0.3">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x14ac:dyDescent="0.3">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x14ac:dyDescent="0.3">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x14ac:dyDescent="0.3">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x14ac:dyDescent="0.3">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x14ac:dyDescent="0.3">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x14ac:dyDescent="0.3">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x14ac:dyDescent="0.3">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x14ac:dyDescent="0.3">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x14ac:dyDescent="0.3">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x14ac:dyDescent="0.3">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x14ac:dyDescent="0.3">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x14ac:dyDescent="0.3">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x14ac:dyDescent="0.3">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x14ac:dyDescent="0.3">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x14ac:dyDescent="0.3">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x14ac:dyDescent="0.3">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x14ac:dyDescent="0.3">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x14ac:dyDescent="0.3">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x14ac:dyDescent="0.3">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x14ac:dyDescent="0.3">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x14ac:dyDescent="0.3">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x14ac:dyDescent="0.3">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x14ac:dyDescent="0.3">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x14ac:dyDescent="0.3">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x14ac:dyDescent="0.3">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x14ac:dyDescent="0.3">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x14ac:dyDescent="0.3">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x14ac:dyDescent="0.3">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x14ac:dyDescent="0.3">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x14ac:dyDescent="0.3">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x14ac:dyDescent="0.3">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x14ac:dyDescent="0.3">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x14ac:dyDescent="0.3">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x14ac:dyDescent="0.3">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x14ac:dyDescent="0.3">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x14ac:dyDescent="0.3">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x14ac:dyDescent="0.3">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x14ac:dyDescent="0.3">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x14ac:dyDescent="0.3">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x14ac:dyDescent="0.3">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x14ac:dyDescent="0.3">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x14ac:dyDescent="0.3">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x14ac:dyDescent="0.3">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x14ac:dyDescent="0.3">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x14ac:dyDescent="0.3">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x14ac:dyDescent="0.3">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x14ac:dyDescent="0.3">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x14ac:dyDescent="0.3">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x14ac:dyDescent="0.3">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x14ac:dyDescent="0.3">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x14ac:dyDescent="0.3">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x14ac:dyDescent="0.3">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x14ac:dyDescent="0.3">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x14ac:dyDescent="0.3">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x14ac:dyDescent="0.3">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x14ac:dyDescent="0.3">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x14ac:dyDescent="0.3">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x14ac:dyDescent="0.3">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x14ac:dyDescent="0.3">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x14ac:dyDescent="0.3">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x14ac:dyDescent="0.3">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x14ac:dyDescent="0.3">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x14ac:dyDescent="0.3">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x14ac:dyDescent="0.3">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x14ac:dyDescent="0.3">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x14ac:dyDescent="0.3">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x14ac:dyDescent="0.3">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x14ac:dyDescent="0.3">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x14ac:dyDescent="0.3">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x14ac:dyDescent="0.3">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x14ac:dyDescent="0.3">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x14ac:dyDescent="0.3">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x14ac:dyDescent="0.3">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x14ac:dyDescent="0.3">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x14ac:dyDescent="0.3">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x14ac:dyDescent="0.3">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x14ac:dyDescent="0.3">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x14ac:dyDescent="0.3">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x14ac:dyDescent="0.3">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x14ac:dyDescent="0.3">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x14ac:dyDescent="0.3">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x14ac:dyDescent="0.3">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x14ac:dyDescent="0.3">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x14ac:dyDescent="0.3">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x14ac:dyDescent="0.3">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x14ac:dyDescent="0.3">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x14ac:dyDescent="0.3">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x14ac:dyDescent="0.3">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x14ac:dyDescent="0.3">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x14ac:dyDescent="0.3">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x14ac:dyDescent="0.3">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x14ac:dyDescent="0.3">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x14ac:dyDescent="0.3">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x14ac:dyDescent="0.3">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x14ac:dyDescent="0.3">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x14ac:dyDescent="0.3">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x14ac:dyDescent="0.3">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x14ac:dyDescent="0.3">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x14ac:dyDescent="0.3">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x14ac:dyDescent="0.3">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x14ac:dyDescent="0.3">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x14ac:dyDescent="0.3">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x14ac:dyDescent="0.3">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x14ac:dyDescent="0.3">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x14ac:dyDescent="0.3">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x14ac:dyDescent="0.3">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x14ac:dyDescent="0.3">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x14ac:dyDescent="0.3">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x14ac:dyDescent="0.3">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x14ac:dyDescent="0.3">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x14ac:dyDescent="0.3">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x14ac:dyDescent="0.3">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x14ac:dyDescent="0.3">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x14ac:dyDescent="0.3">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x14ac:dyDescent="0.3">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x14ac:dyDescent="0.3">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x14ac:dyDescent="0.3">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x14ac:dyDescent="0.3">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x14ac:dyDescent="0.3">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x14ac:dyDescent="0.3">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x14ac:dyDescent="0.3">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x14ac:dyDescent="0.3">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x14ac:dyDescent="0.3">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x14ac:dyDescent="0.3">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x14ac:dyDescent="0.3">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x14ac:dyDescent="0.3">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x14ac:dyDescent="0.3">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x14ac:dyDescent="0.3">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x14ac:dyDescent="0.3">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x14ac:dyDescent="0.3">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x14ac:dyDescent="0.3">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x14ac:dyDescent="0.3">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x14ac:dyDescent="0.3">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x14ac:dyDescent="0.3">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x14ac:dyDescent="0.3">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x14ac:dyDescent="0.3">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x14ac:dyDescent="0.3">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x14ac:dyDescent="0.3">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x14ac:dyDescent="0.3">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x14ac:dyDescent="0.3">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x14ac:dyDescent="0.3">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x14ac:dyDescent="0.3">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x14ac:dyDescent="0.3">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x14ac:dyDescent="0.3">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x14ac:dyDescent="0.3">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x14ac:dyDescent="0.3">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x14ac:dyDescent="0.3">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x14ac:dyDescent="0.3">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x14ac:dyDescent="0.3">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x14ac:dyDescent="0.3">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x14ac:dyDescent="0.3">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x14ac:dyDescent="0.3">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x14ac:dyDescent="0.3">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x14ac:dyDescent="0.3">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x14ac:dyDescent="0.3">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x14ac:dyDescent="0.3">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x14ac:dyDescent="0.3">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x14ac:dyDescent="0.3">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x14ac:dyDescent="0.3">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x14ac:dyDescent="0.3">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x14ac:dyDescent="0.3">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x14ac:dyDescent="0.3">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x14ac:dyDescent="0.3">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x14ac:dyDescent="0.3">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x14ac:dyDescent="0.3">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x14ac:dyDescent="0.3">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x14ac:dyDescent="0.3">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x14ac:dyDescent="0.3">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x14ac:dyDescent="0.3">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x14ac:dyDescent="0.3">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x14ac:dyDescent="0.3">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x14ac:dyDescent="0.3">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x14ac:dyDescent="0.3">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x14ac:dyDescent="0.3">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x14ac:dyDescent="0.3">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x14ac:dyDescent="0.3">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x14ac:dyDescent="0.3">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x14ac:dyDescent="0.3">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x14ac:dyDescent="0.3">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x14ac:dyDescent="0.3">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x14ac:dyDescent="0.3">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x14ac:dyDescent="0.3">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x14ac:dyDescent="0.3">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x14ac:dyDescent="0.3">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x14ac:dyDescent="0.3">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x14ac:dyDescent="0.3">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x14ac:dyDescent="0.3">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x14ac:dyDescent="0.3">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x14ac:dyDescent="0.3">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x14ac:dyDescent="0.3">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x14ac:dyDescent="0.3">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x14ac:dyDescent="0.3">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x14ac:dyDescent="0.3">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x14ac:dyDescent="0.3">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x14ac:dyDescent="0.3">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x14ac:dyDescent="0.3">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x14ac:dyDescent="0.3">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x14ac:dyDescent="0.3">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x14ac:dyDescent="0.3">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x14ac:dyDescent="0.3">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x14ac:dyDescent="0.3">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x14ac:dyDescent="0.3">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x14ac:dyDescent="0.3">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x14ac:dyDescent="0.3">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x14ac:dyDescent="0.3">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x14ac:dyDescent="0.3">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x14ac:dyDescent="0.3">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x14ac:dyDescent="0.3">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x14ac:dyDescent="0.3">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x14ac:dyDescent="0.3">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x14ac:dyDescent="0.3">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x14ac:dyDescent="0.3">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x14ac:dyDescent="0.3">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x14ac:dyDescent="0.3">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x14ac:dyDescent="0.3">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x14ac:dyDescent="0.3">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x14ac:dyDescent="0.3">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x14ac:dyDescent="0.3">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x14ac:dyDescent="0.3">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x14ac:dyDescent="0.3">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x14ac:dyDescent="0.3">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x14ac:dyDescent="0.3">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x14ac:dyDescent="0.3">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x14ac:dyDescent="0.3">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x14ac:dyDescent="0.3">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x14ac:dyDescent="0.3">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x14ac:dyDescent="0.3">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x14ac:dyDescent="0.3">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x14ac:dyDescent="0.3">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x14ac:dyDescent="0.3">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x14ac:dyDescent="0.3">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x14ac:dyDescent="0.3">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x14ac:dyDescent="0.3">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x14ac:dyDescent="0.3">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x14ac:dyDescent="0.3">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x14ac:dyDescent="0.3">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x14ac:dyDescent="0.3">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x14ac:dyDescent="0.3">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x14ac:dyDescent="0.3">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x14ac:dyDescent="0.3">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x14ac:dyDescent="0.3">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x14ac:dyDescent="0.3">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x14ac:dyDescent="0.3">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x14ac:dyDescent="0.3">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x14ac:dyDescent="0.3">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x14ac:dyDescent="0.3">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x14ac:dyDescent="0.3">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x14ac:dyDescent="0.3">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x14ac:dyDescent="0.3">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x14ac:dyDescent="0.3">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x14ac:dyDescent="0.3">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x14ac:dyDescent="0.3">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x14ac:dyDescent="0.3">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x14ac:dyDescent="0.3">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x14ac:dyDescent="0.3">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x14ac:dyDescent="0.3">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x14ac:dyDescent="0.3">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x14ac:dyDescent="0.3">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x14ac:dyDescent="0.3">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x14ac:dyDescent="0.3">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x14ac:dyDescent="0.3">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x14ac:dyDescent="0.3">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x14ac:dyDescent="0.3">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x14ac:dyDescent="0.3">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x14ac:dyDescent="0.3">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x14ac:dyDescent="0.3">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x14ac:dyDescent="0.3">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x14ac:dyDescent="0.3">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x14ac:dyDescent="0.3">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x14ac:dyDescent="0.3">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x14ac:dyDescent="0.3">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x14ac:dyDescent="0.3">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x14ac:dyDescent="0.3">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x14ac:dyDescent="0.3">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x14ac:dyDescent="0.3">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x14ac:dyDescent="0.3">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x14ac:dyDescent="0.3">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x14ac:dyDescent="0.3">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x14ac:dyDescent="0.3">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x14ac:dyDescent="0.3">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x14ac:dyDescent="0.3">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x14ac:dyDescent="0.3">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x14ac:dyDescent="0.3">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x14ac:dyDescent="0.3">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x14ac:dyDescent="0.3">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x14ac:dyDescent="0.3">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x14ac:dyDescent="0.3">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x14ac:dyDescent="0.3">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x14ac:dyDescent="0.3">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x14ac:dyDescent="0.3">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x14ac:dyDescent="0.3">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x14ac:dyDescent="0.3">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x14ac:dyDescent="0.3">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x14ac:dyDescent="0.3">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x14ac:dyDescent="0.3">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x14ac:dyDescent="0.3">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x14ac:dyDescent="0.3">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x14ac:dyDescent="0.3">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x14ac:dyDescent="0.3">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x14ac:dyDescent="0.3">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x14ac:dyDescent="0.3">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x14ac:dyDescent="0.3">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x14ac:dyDescent="0.3">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x14ac:dyDescent="0.3">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x14ac:dyDescent="0.3">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x14ac:dyDescent="0.3">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x14ac:dyDescent="0.3">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x14ac:dyDescent="0.3">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x14ac:dyDescent="0.3">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x14ac:dyDescent="0.3">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x14ac:dyDescent="0.3">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x14ac:dyDescent="0.3">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x14ac:dyDescent="0.3">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x14ac:dyDescent="0.3">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x14ac:dyDescent="0.3">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x14ac:dyDescent="0.3">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x14ac:dyDescent="0.3">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x14ac:dyDescent="0.3">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x14ac:dyDescent="0.3">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x14ac:dyDescent="0.3">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x14ac:dyDescent="0.3">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x14ac:dyDescent="0.3">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x14ac:dyDescent="0.3">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x14ac:dyDescent="0.3">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x14ac:dyDescent="0.3">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x14ac:dyDescent="0.3">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x14ac:dyDescent="0.3">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x14ac:dyDescent="0.3">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x14ac:dyDescent="0.3">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x14ac:dyDescent="0.3">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x14ac:dyDescent="0.3">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x14ac:dyDescent="0.3">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x14ac:dyDescent="0.3">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x14ac:dyDescent="0.3">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x14ac:dyDescent="0.3">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x14ac:dyDescent="0.3">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x14ac:dyDescent="0.3">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x14ac:dyDescent="0.3">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x14ac:dyDescent="0.3">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x14ac:dyDescent="0.3">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x14ac:dyDescent="0.3">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x14ac:dyDescent="0.3">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x14ac:dyDescent="0.3">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x14ac:dyDescent="0.3">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x14ac:dyDescent="0.3">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x14ac:dyDescent="0.3">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x14ac:dyDescent="0.3">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x14ac:dyDescent="0.3">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x14ac:dyDescent="0.3">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x14ac:dyDescent="0.3">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x14ac:dyDescent="0.3">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x14ac:dyDescent="0.3">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x14ac:dyDescent="0.3">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x14ac:dyDescent="0.3">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x14ac:dyDescent="0.3">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x14ac:dyDescent="0.3">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x14ac:dyDescent="0.3">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x14ac:dyDescent="0.3">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x14ac:dyDescent="0.3">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x14ac:dyDescent="0.3">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x14ac:dyDescent="0.3">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x14ac:dyDescent="0.3">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x14ac:dyDescent="0.3">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x14ac:dyDescent="0.3">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x14ac:dyDescent="0.3">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x14ac:dyDescent="0.3">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x14ac:dyDescent="0.3">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x14ac:dyDescent="0.3">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x14ac:dyDescent="0.3">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x14ac:dyDescent="0.3">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x14ac:dyDescent="0.3">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x14ac:dyDescent="0.3">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x14ac:dyDescent="0.3">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x14ac:dyDescent="0.3">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x14ac:dyDescent="0.3">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x14ac:dyDescent="0.3">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x14ac:dyDescent="0.3">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x14ac:dyDescent="0.3">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x14ac:dyDescent="0.3">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x14ac:dyDescent="0.3">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x14ac:dyDescent="0.3">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x14ac:dyDescent="0.3">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x14ac:dyDescent="0.3">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x14ac:dyDescent="0.3">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x14ac:dyDescent="0.3">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x14ac:dyDescent="0.3">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x14ac:dyDescent="0.3">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x14ac:dyDescent="0.3">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x14ac:dyDescent="0.3">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x14ac:dyDescent="0.3">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x14ac:dyDescent="0.3">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x14ac:dyDescent="0.3">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x14ac:dyDescent="0.3">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x14ac:dyDescent="0.3">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x14ac:dyDescent="0.3">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x14ac:dyDescent="0.3">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x14ac:dyDescent="0.3">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x14ac:dyDescent="0.3">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x14ac:dyDescent="0.3">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x14ac:dyDescent="0.3">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x14ac:dyDescent="0.3">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x14ac:dyDescent="0.3">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x14ac:dyDescent="0.3">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x14ac:dyDescent="0.3">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x14ac:dyDescent="0.3">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x14ac:dyDescent="0.3">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x14ac:dyDescent="0.3">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x14ac:dyDescent="0.3">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x14ac:dyDescent="0.3">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x14ac:dyDescent="0.3">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x14ac:dyDescent="0.3">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x14ac:dyDescent="0.3">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x14ac:dyDescent="0.3">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x14ac:dyDescent="0.3">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x14ac:dyDescent="0.3">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x14ac:dyDescent="0.3">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x14ac:dyDescent="0.3">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x14ac:dyDescent="0.3">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x14ac:dyDescent="0.3">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x14ac:dyDescent="0.3">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x14ac:dyDescent="0.3">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x14ac:dyDescent="0.3">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x14ac:dyDescent="0.3">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x14ac:dyDescent="0.3">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x14ac:dyDescent="0.3">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x14ac:dyDescent="0.3">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x14ac:dyDescent="0.3">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x14ac:dyDescent="0.3">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x14ac:dyDescent="0.3">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x14ac:dyDescent="0.3">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x14ac:dyDescent="0.3">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x14ac:dyDescent="0.3">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x14ac:dyDescent="0.3">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x14ac:dyDescent="0.3">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x14ac:dyDescent="0.3">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x14ac:dyDescent="0.3">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x14ac:dyDescent="0.3">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x14ac:dyDescent="0.3">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x14ac:dyDescent="0.3">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x14ac:dyDescent="0.3">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x14ac:dyDescent="0.3">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x14ac:dyDescent="0.3">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x14ac:dyDescent="0.3">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x14ac:dyDescent="0.3">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x14ac:dyDescent="0.3">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x14ac:dyDescent="0.3">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x14ac:dyDescent="0.3">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x14ac:dyDescent="0.3">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x14ac:dyDescent="0.3">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x14ac:dyDescent="0.3">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x14ac:dyDescent="0.3">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x14ac:dyDescent="0.3">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x14ac:dyDescent="0.3">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x14ac:dyDescent="0.3">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x14ac:dyDescent="0.3">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x14ac:dyDescent="0.3">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x14ac:dyDescent="0.3">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x14ac:dyDescent="0.3">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x14ac:dyDescent="0.3">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x14ac:dyDescent="0.3">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x14ac:dyDescent="0.3">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x14ac:dyDescent="0.3">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x14ac:dyDescent="0.3">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x14ac:dyDescent="0.3">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x14ac:dyDescent="0.3">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x14ac:dyDescent="0.3">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x14ac:dyDescent="0.3">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x14ac:dyDescent="0.3">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x14ac:dyDescent="0.3">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x14ac:dyDescent="0.3">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x14ac:dyDescent="0.3">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x14ac:dyDescent="0.3">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x14ac:dyDescent="0.3">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x14ac:dyDescent="0.3">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x14ac:dyDescent="0.3">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x14ac:dyDescent="0.3">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x14ac:dyDescent="0.3">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x14ac:dyDescent="0.3">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x14ac:dyDescent="0.3">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x14ac:dyDescent="0.3">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x14ac:dyDescent="0.3">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x14ac:dyDescent="0.3">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x14ac:dyDescent="0.3">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x14ac:dyDescent="0.3">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x14ac:dyDescent="0.3">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x14ac:dyDescent="0.3">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x14ac:dyDescent="0.3">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x14ac:dyDescent="0.3">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x14ac:dyDescent="0.3">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x14ac:dyDescent="0.3">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x14ac:dyDescent="0.3">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x14ac:dyDescent="0.3">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x14ac:dyDescent="0.3">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x14ac:dyDescent="0.3">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x14ac:dyDescent="0.3">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x14ac:dyDescent="0.3">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x14ac:dyDescent="0.3">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x14ac:dyDescent="0.3">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x14ac:dyDescent="0.3">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x14ac:dyDescent="0.3">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x14ac:dyDescent="0.3">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x14ac:dyDescent="0.3">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x14ac:dyDescent="0.3">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x14ac:dyDescent="0.3">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x14ac:dyDescent="0.3">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x14ac:dyDescent="0.3">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x14ac:dyDescent="0.3">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x14ac:dyDescent="0.3">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x14ac:dyDescent="0.3">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x14ac:dyDescent="0.3">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x14ac:dyDescent="0.3">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x14ac:dyDescent="0.3">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x14ac:dyDescent="0.3">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x14ac:dyDescent="0.3">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x14ac:dyDescent="0.3">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x14ac:dyDescent="0.3">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x14ac:dyDescent="0.3">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x14ac:dyDescent="0.3">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x14ac:dyDescent="0.3">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x14ac:dyDescent="0.3">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x14ac:dyDescent="0.3">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x14ac:dyDescent="0.3">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x14ac:dyDescent="0.3">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x14ac:dyDescent="0.3">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x14ac:dyDescent="0.3">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x14ac:dyDescent="0.3">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x14ac:dyDescent="0.3">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x14ac:dyDescent="0.3">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x14ac:dyDescent="0.3">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x14ac:dyDescent="0.3">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x14ac:dyDescent="0.3">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x14ac:dyDescent="0.3">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x14ac:dyDescent="0.3">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x14ac:dyDescent="0.3">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x14ac:dyDescent="0.3">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x14ac:dyDescent="0.3">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x14ac:dyDescent="0.3">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x14ac:dyDescent="0.3">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x14ac:dyDescent="0.3">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x14ac:dyDescent="0.3">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x14ac:dyDescent="0.3">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x14ac:dyDescent="0.3">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x14ac:dyDescent="0.3">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x14ac:dyDescent="0.3">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x14ac:dyDescent="0.3">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x14ac:dyDescent="0.3">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x14ac:dyDescent="0.3">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x14ac:dyDescent="0.3">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x14ac:dyDescent="0.3">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x14ac:dyDescent="0.3">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x14ac:dyDescent="0.3">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x14ac:dyDescent="0.3">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x14ac:dyDescent="0.3">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x14ac:dyDescent="0.3">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x14ac:dyDescent="0.3">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x14ac:dyDescent="0.3">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x14ac:dyDescent="0.3">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x14ac:dyDescent="0.3">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x14ac:dyDescent="0.3">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x14ac:dyDescent="0.3">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x14ac:dyDescent="0.3">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x14ac:dyDescent="0.3">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x14ac:dyDescent="0.3">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x14ac:dyDescent="0.3">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x14ac:dyDescent="0.3">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x14ac:dyDescent="0.3">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x14ac:dyDescent="0.3">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x14ac:dyDescent="0.3">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x14ac:dyDescent="0.3">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x14ac:dyDescent="0.3">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x14ac:dyDescent="0.3">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x14ac:dyDescent="0.3">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x14ac:dyDescent="0.3">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x14ac:dyDescent="0.3">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x14ac:dyDescent="0.3">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x14ac:dyDescent="0.3">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x14ac:dyDescent="0.3">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x14ac:dyDescent="0.3">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x14ac:dyDescent="0.3">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x14ac:dyDescent="0.3">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x14ac:dyDescent="0.3">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x14ac:dyDescent="0.3">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x14ac:dyDescent="0.3">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x14ac:dyDescent="0.3">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x14ac:dyDescent="0.3">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x14ac:dyDescent="0.3">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x14ac:dyDescent="0.3">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x14ac:dyDescent="0.3">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x14ac:dyDescent="0.3">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x14ac:dyDescent="0.3">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x14ac:dyDescent="0.3">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x14ac:dyDescent="0.3">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x14ac:dyDescent="0.3">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x14ac:dyDescent="0.3">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x14ac:dyDescent="0.3">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x14ac:dyDescent="0.3">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x14ac:dyDescent="0.3">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x14ac:dyDescent="0.3">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x14ac:dyDescent="0.3">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x14ac:dyDescent="0.3">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x14ac:dyDescent="0.3">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x14ac:dyDescent="0.3">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x14ac:dyDescent="0.3">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x14ac:dyDescent="0.3">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x14ac:dyDescent="0.3">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x14ac:dyDescent="0.3">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x14ac:dyDescent="0.3">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x14ac:dyDescent="0.3">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x14ac:dyDescent="0.3">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x14ac:dyDescent="0.3">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x14ac:dyDescent="0.3">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x14ac:dyDescent="0.3">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x14ac:dyDescent="0.3">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x14ac:dyDescent="0.3">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x14ac:dyDescent="0.3">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x14ac:dyDescent="0.3">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x14ac:dyDescent="0.3">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x14ac:dyDescent="0.3">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x14ac:dyDescent="0.3">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x14ac:dyDescent="0.3">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x14ac:dyDescent="0.3">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x14ac:dyDescent="0.3">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x14ac:dyDescent="0.3">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x14ac:dyDescent="0.3">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x14ac:dyDescent="0.3">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x14ac:dyDescent="0.3">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x14ac:dyDescent="0.3">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x14ac:dyDescent="0.3">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x14ac:dyDescent="0.3">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x14ac:dyDescent="0.3">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x14ac:dyDescent="0.3">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x14ac:dyDescent="0.3">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x14ac:dyDescent="0.3">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x14ac:dyDescent="0.3">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x14ac:dyDescent="0.3">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x14ac:dyDescent="0.3">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x14ac:dyDescent="0.3">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x14ac:dyDescent="0.3">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x14ac:dyDescent="0.3">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x14ac:dyDescent="0.3">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x14ac:dyDescent="0.3">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x14ac:dyDescent="0.3">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x14ac:dyDescent="0.3">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x14ac:dyDescent="0.3">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x14ac:dyDescent="0.3">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x14ac:dyDescent="0.3">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x14ac:dyDescent="0.3">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x14ac:dyDescent="0.3">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x14ac:dyDescent="0.3">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x14ac:dyDescent="0.3">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x14ac:dyDescent="0.3">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x14ac:dyDescent="0.3">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x14ac:dyDescent="0.3">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x14ac:dyDescent="0.3">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x14ac:dyDescent="0.3">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x14ac:dyDescent="0.3">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x14ac:dyDescent="0.3">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x14ac:dyDescent="0.3">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x14ac:dyDescent="0.3">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x14ac:dyDescent="0.3">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x14ac:dyDescent="0.3">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x14ac:dyDescent="0.3">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x14ac:dyDescent="0.3">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x14ac:dyDescent="0.3">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x14ac:dyDescent="0.3">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x14ac:dyDescent="0.3">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x14ac:dyDescent="0.3">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x14ac:dyDescent="0.3">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x14ac:dyDescent="0.3">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x14ac:dyDescent="0.3">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x14ac:dyDescent="0.3">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x14ac:dyDescent="0.3">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x14ac:dyDescent="0.3">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x14ac:dyDescent="0.3">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x14ac:dyDescent="0.3">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x14ac:dyDescent="0.3">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x14ac:dyDescent="0.3">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x14ac:dyDescent="0.3">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x14ac:dyDescent="0.3">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x14ac:dyDescent="0.3">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x14ac:dyDescent="0.3">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x14ac:dyDescent="0.3">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x14ac:dyDescent="0.3">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x14ac:dyDescent="0.3">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x14ac:dyDescent="0.3">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x14ac:dyDescent="0.3">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x14ac:dyDescent="0.3">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x14ac:dyDescent="0.3">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x14ac:dyDescent="0.3">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x14ac:dyDescent="0.3">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x14ac:dyDescent="0.3">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x14ac:dyDescent="0.3">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x14ac:dyDescent="0.3">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x14ac:dyDescent="0.3">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x14ac:dyDescent="0.3">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x14ac:dyDescent="0.3">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x14ac:dyDescent="0.3">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x14ac:dyDescent="0.3">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x14ac:dyDescent="0.3">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x14ac:dyDescent="0.3">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x14ac:dyDescent="0.3">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x14ac:dyDescent="0.3">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x14ac:dyDescent="0.3">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x14ac:dyDescent="0.3">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x14ac:dyDescent="0.3">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x14ac:dyDescent="0.3">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x14ac:dyDescent="0.3">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x14ac:dyDescent="0.3">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x14ac:dyDescent="0.3">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x14ac:dyDescent="0.3">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x14ac:dyDescent="0.3">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x14ac:dyDescent="0.3">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x14ac:dyDescent="0.3">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x14ac:dyDescent="0.3">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x14ac:dyDescent="0.3">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x14ac:dyDescent="0.3">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x14ac:dyDescent="0.3">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x14ac:dyDescent="0.3">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x14ac:dyDescent="0.3">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x14ac:dyDescent="0.3">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x14ac:dyDescent="0.3">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x14ac:dyDescent="0.3">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x14ac:dyDescent="0.3">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x14ac:dyDescent="0.3">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x14ac:dyDescent="0.3">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x14ac:dyDescent="0.3">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x14ac:dyDescent="0.3">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x14ac:dyDescent="0.3">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x14ac:dyDescent="0.3">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x14ac:dyDescent="0.3">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x14ac:dyDescent="0.3">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x14ac:dyDescent="0.3">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x14ac:dyDescent="0.3">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x14ac:dyDescent="0.3">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x14ac:dyDescent="0.3">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x14ac:dyDescent="0.3">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x14ac:dyDescent="0.3">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x14ac:dyDescent="0.3">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x14ac:dyDescent="0.3">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x14ac:dyDescent="0.3">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x14ac:dyDescent="0.3">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x14ac:dyDescent="0.3">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x14ac:dyDescent="0.3">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x14ac:dyDescent="0.3">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x14ac:dyDescent="0.3">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x14ac:dyDescent="0.3">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x14ac:dyDescent="0.3">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x14ac:dyDescent="0.3">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x14ac:dyDescent="0.3">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x14ac:dyDescent="0.3">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x14ac:dyDescent="0.3">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x14ac:dyDescent="0.3">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x14ac:dyDescent="0.3">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x14ac:dyDescent="0.3">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x14ac:dyDescent="0.3">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x14ac:dyDescent="0.3">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x14ac:dyDescent="0.3">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x14ac:dyDescent="0.3">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x14ac:dyDescent="0.3">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x14ac:dyDescent="0.3">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x14ac:dyDescent="0.3">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x14ac:dyDescent="0.3">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x14ac:dyDescent="0.3">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x14ac:dyDescent="0.3">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x14ac:dyDescent="0.3">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x14ac:dyDescent="0.3">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x14ac:dyDescent="0.3">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x14ac:dyDescent="0.3">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x14ac:dyDescent="0.3">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x14ac:dyDescent="0.3">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x14ac:dyDescent="0.3">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x14ac:dyDescent="0.3">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x14ac:dyDescent="0.3">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x14ac:dyDescent="0.3">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x14ac:dyDescent="0.3">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x14ac:dyDescent="0.3">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x14ac:dyDescent="0.3">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x14ac:dyDescent="0.3">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x14ac:dyDescent="0.3">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x14ac:dyDescent="0.3">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x14ac:dyDescent="0.3">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x14ac:dyDescent="0.3">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x14ac:dyDescent="0.3">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x14ac:dyDescent="0.3">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x14ac:dyDescent="0.3">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x14ac:dyDescent="0.3">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x14ac:dyDescent="0.3">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x14ac:dyDescent="0.3">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x14ac:dyDescent="0.3">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x14ac:dyDescent="0.3">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x14ac:dyDescent="0.3">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x14ac:dyDescent="0.3">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x14ac:dyDescent="0.3">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x14ac:dyDescent="0.3">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x14ac:dyDescent="0.3">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x14ac:dyDescent="0.3">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x14ac:dyDescent="0.3">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x14ac:dyDescent="0.3">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x14ac:dyDescent="0.3">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x14ac:dyDescent="0.3">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x14ac:dyDescent="0.3">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x14ac:dyDescent="0.3">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x14ac:dyDescent="0.3">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x14ac:dyDescent="0.3">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x14ac:dyDescent="0.3">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x14ac:dyDescent="0.3">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x14ac:dyDescent="0.3">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x14ac:dyDescent="0.3">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x14ac:dyDescent="0.3">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x14ac:dyDescent="0.3">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x14ac:dyDescent="0.3">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x14ac:dyDescent="0.3">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x14ac:dyDescent="0.3">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x14ac:dyDescent="0.3">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x14ac:dyDescent="0.3">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x14ac:dyDescent="0.3">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x14ac:dyDescent="0.3">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x14ac:dyDescent="0.3">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x14ac:dyDescent="0.3">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x14ac:dyDescent="0.3">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x14ac:dyDescent="0.3">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x14ac:dyDescent="0.3">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x14ac:dyDescent="0.3">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x14ac:dyDescent="0.3">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x14ac:dyDescent="0.3">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x14ac:dyDescent="0.3">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x14ac:dyDescent="0.3">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x14ac:dyDescent="0.3">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x14ac:dyDescent="0.3">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x14ac:dyDescent="0.3">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x14ac:dyDescent="0.3">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x14ac:dyDescent="0.3">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x14ac:dyDescent="0.3">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x14ac:dyDescent="0.3">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x14ac:dyDescent="0.3">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x14ac:dyDescent="0.3">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x14ac:dyDescent="0.3">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x14ac:dyDescent="0.3">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x14ac:dyDescent="0.3">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x14ac:dyDescent="0.3">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x14ac:dyDescent="0.3">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x14ac:dyDescent="0.3">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x14ac:dyDescent="0.3">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x14ac:dyDescent="0.3">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x14ac:dyDescent="0.3">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x14ac:dyDescent="0.3">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x14ac:dyDescent="0.3">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x14ac:dyDescent="0.3">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x14ac:dyDescent="0.3">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x14ac:dyDescent="0.3">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x14ac:dyDescent="0.3">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x14ac:dyDescent="0.3">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x14ac:dyDescent="0.3">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x14ac:dyDescent="0.3">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x14ac:dyDescent="0.3">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x14ac:dyDescent="0.3">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x14ac:dyDescent="0.3">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x14ac:dyDescent="0.3">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x14ac:dyDescent="0.3">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x14ac:dyDescent="0.3">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x14ac:dyDescent="0.3">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x14ac:dyDescent="0.3">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x14ac:dyDescent="0.3">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x14ac:dyDescent="0.3">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x14ac:dyDescent="0.3">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x14ac:dyDescent="0.3">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x14ac:dyDescent="0.3">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x14ac:dyDescent="0.3">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x14ac:dyDescent="0.3">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x14ac:dyDescent="0.3">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x14ac:dyDescent="0.3">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x14ac:dyDescent="0.3">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x14ac:dyDescent="0.3">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x14ac:dyDescent="0.3">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x14ac:dyDescent="0.3">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x14ac:dyDescent="0.3">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x14ac:dyDescent="0.3">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x14ac:dyDescent="0.3">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x14ac:dyDescent="0.3">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x14ac:dyDescent="0.3">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x14ac:dyDescent="0.3">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x14ac:dyDescent="0.3">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x14ac:dyDescent="0.3">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x14ac:dyDescent="0.3">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x14ac:dyDescent="0.3">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x14ac:dyDescent="0.3">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x14ac:dyDescent="0.3">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x14ac:dyDescent="0.3">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x14ac:dyDescent="0.3">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x14ac:dyDescent="0.3">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x14ac:dyDescent="0.3">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x14ac:dyDescent="0.3">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x14ac:dyDescent="0.3">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x14ac:dyDescent="0.3">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x14ac:dyDescent="0.3">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x14ac:dyDescent="0.3">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x14ac:dyDescent="0.3">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x14ac:dyDescent="0.3">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x14ac:dyDescent="0.3">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x14ac:dyDescent="0.3">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x14ac:dyDescent="0.3">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x14ac:dyDescent="0.3">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x14ac:dyDescent="0.3">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x14ac:dyDescent="0.3">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x14ac:dyDescent="0.3">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x14ac:dyDescent="0.3">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x14ac:dyDescent="0.3">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x14ac:dyDescent="0.3">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x14ac:dyDescent="0.3">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x14ac:dyDescent="0.3">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x14ac:dyDescent="0.3">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x14ac:dyDescent="0.3">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x14ac:dyDescent="0.3">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x14ac:dyDescent="0.3">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x14ac:dyDescent="0.3">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x14ac:dyDescent="0.3">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x14ac:dyDescent="0.3">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x14ac:dyDescent="0.3">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x14ac:dyDescent="0.3">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x14ac:dyDescent="0.3">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x14ac:dyDescent="0.3">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x14ac:dyDescent="0.3">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x14ac:dyDescent="0.3">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x14ac:dyDescent="0.3">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x14ac:dyDescent="0.3">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x14ac:dyDescent="0.3">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x14ac:dyDescent="0.3">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x14ac:dyDescent="0.3">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x14ac:dyDescent="0.3">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x14ac:dyDescent="0.3">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x14ac:dyDescent="0.3">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x14ac:dyDescent="0.3">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x14ac:dyDescent="0.3">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x14ac:dyDescent="0.3">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x14ac:dyDescent="0.3">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x14ac:dyDescent="0.3">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x14ac:dyDescent="0.3">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x14ac:dyDescent="0.3">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x14ac:dyDescent="0.3">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x14ac:dyDescent="0.3">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x14ac:dyDescent="0.3">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x14ac:dyDescent="0.3">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x14ac:dyDescent="0.3">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x14ac:dyDescent="0.3">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x14ac:dyDescent="0.3">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x14ac:dyDescent="0.3">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x14ac:dyDescent="0.3">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x14ac:dyDescent="0.3">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x14ac:dyDescent="0.3">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x14ac:dyDescent="0.3">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x14ac:dyDescent="0.3">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x14ac:dyDescent="0.3">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x14ac:dyDescent="0.3">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x14ac:dyDescent="0.3">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x14ac:dyDescent="0.3">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x14ac:dyDescent="0.3">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x14ac:dyDescent="0.3">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x14ac:dyDescent="0.3">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x14ac:dyDescent="0.3">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x14ac:dyDescent="0.3">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x14ac:dyDescent="0.3">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x14ac:dyDescent="0.3">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x14ac:dyDescent="0.3">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x14ac:dyDescent="0.3">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x14ac:dyDescent="0.3">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x14ac:dyDescent="0.3">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x14ac:dyDescent="0.3">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x14ac:dyDescent="0.3">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x14ac:dyDescent="0.3">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x14ac:dyDescent="0.3">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x14ac:dyDescent="0.3">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x14ac:dyDescent="0.3">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x14ac:dyDescent="0.3">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x14ac:dyDescent="0.3">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x14ac:dyDescent="0.3">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x14ac:dyDescent="0.3">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x14ac:dyDescent="0.3">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x14ac:dyDescent="0.3">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x14ac:dyDescent="0.3">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x14ac:dyDescent="0.3">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x14ac:dyDescent="0.3">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x14ac:dyDescent="0.3">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x14ac:dyDescent="0.3">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x14ac:dyDescent="0.3">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x14ac:dyDescent="0.3">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x14ac:dyDescent="0.3">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x14ac:dyDescent="0.3">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x14ac:dyDescent="0.3">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x14ac:dyDescent="0.3">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x14ac:dyDescent="0.3">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x14ac:dyDescent="0.3">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x14ac:dyDescent="0.3">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x14ac:dyDescent="0.3">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x14ac:dyDescent="0.3">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x14ac:dyDescent="0.3">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x14ac:dyDescent="0.3">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x14ac:dyDescent="0.3">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x14ac:dyDescent="0.3">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x14ac:dyDescent="0.3">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x14ac:dyDescent="0.3">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x14ac:dyDescent="0.3">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x14ac:dyDescent="0.3">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x14ac:dyDescent="0.3">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x14ac:dyDescent="0.3">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x14ac:dyDescent="0.3">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x14ac:dyDescent="0.3">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x14ac:dyDescent="0.3">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x14ac:dyDescent="0.3">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x14ac:dyDescent="0.3">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x14ac:dyDescent="0.3">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x14ac:dyDescent="0.3">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x14ac:dyDescent="0.3">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x14ac:dyDescent="0.3">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x14ac:dyDescent="0.3">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x14ac:dyDescent="0.3">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x14ac:dyDescent="0.3">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x14ac:dyDescent="0.3">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x14ac:dyDescent="0.3">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x14ac:dyDescent="0.3">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x14ac:dyDescent="0.3">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x14ac:dyDescent="0.3">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x14ac:dyDescent="0.3">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x14ac:dyDescent="0.3">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x14ac:dyDescent="0.3">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x14ac:dyDescent="0.3">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x14ac:dyDescent="0.3">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x14ac:dyDescent="0.3">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x14ac:dyDescent="0.3">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x14ac:dyDescent="0.3">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x14ac:dyDescent="0.3">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x14ac:dyDescent="0.3">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x14ac:dyDescent="0.3">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x14ac:dyDescent="0.3">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x14ac:dyDescent="0.3">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x14ac:dyDescent="0.3">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x14ac:dyDescent="0.3">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x14ac:dyDescent="0.3">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x14ac:dyDescent="0.3">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x14ac:dyDescent="0.3">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x14ac:dyDescent="0.3">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x14ac:dyDescent="0.3">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x14ac:dyDescent="0.3">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x14ac:dyDescent="0.3">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x14ac:dyDescent="0.3">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x14ac:dyDescent="0.3">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x14ac:dyDescent="0.3">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x14ac:dyDescent="0.3">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x14ac:dyDescent="0.3">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x14ac:dyDescent="0.3">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x14ac:dyDescent="0.3">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x14ac:dyDescent="0.3">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x14ac:dyDescent="0.3">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x14ac:dyDescent="0.3">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x14ac:dyDescent="0.3">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x14ac:dyDescent="0.3">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x14ac:dyDescent="0.3">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x14ac:dyDescent="0.3">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x14ac:dyDescent="0.3">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x14ac:dyDescent="0.3">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x14ac:dyDescent="0.3">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x14ac:dyDescent="0.3">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x14ac:dyDescent="0.3">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x14ac:dyDescent="0.3">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x14ac:dyDescent="0.3">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x14ac:dyDescent="0.3">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x14ac:dyDescent="0.3">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x14ac:dyDescent="0.3">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x14ac:dyDescent="0.3">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x14ac:dyDescent="0.3">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x14ac:dyDescent="0.3">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x14ac:dyDescent="0.3">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x14ac:dyDescent="0.3">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x14ac:dyDescent="0.3">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x14ac:dyDescent="0.3">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x14ac:dyDescent="0.3">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x14ac:dyDescent="0.3">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x14ac:dyDescent="0.3">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x14ac:dyDescent="0.3">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x14ac:dyDescent="0.3">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x14ac:dyDescent="0.3">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x14ac:dyDescent="0.3">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x14ac:dyDescent="0.3">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x14ac:dyDescent="0.3">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x14ac:dyDescent="0.3">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x14ac:dyDescent="0.3">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x14ac:dyDescent="0.3">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x14ac:dyDescent="0.3">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x14ac:dyDescent="0.3">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x14ac:dyDescent="0.3">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x14ac:dyDescent="0.3">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x14ac:dyDescent="0.3">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x14ac:dyDescent="0.3">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x14ac:dyDescent="0.3">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x14ac:dyDescent="0.3">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x14ac:dyDescent="0.3">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x14ac:dyDescent="0.3">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x14ac:dyDescent="0.3">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x14ac:dyDescent="0.3">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x14ac:dyDescent="0.3">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x14ac:dyDescent="0.3">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x14ac:dyDescent="0.3">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x14ac:dyDescent="0.3">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x14ac:dyDescent="0.3">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x14ac:dyDescent="0.3">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x14ac:dyDescent="0.3">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x14ac:dyDescent="0.3">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x14ac:dyDescent="0.3">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x14ac:dyDescent="0.3">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x14ac:dyDescent="0.3">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x14ac:dyDescent="0.3">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x14ac:dyDescent="0.3">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x14ac:dyDescent="0.3">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x14ac:dyDescent="0.3">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x14ac:dyDescent="0.3">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x14ac:dyDescent="0.3">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x14ac:dyDescent="0.3">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x14ac:dyDescent="0.3">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x14ac:dyDescent="0.3">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x14ac:dyDescent="0.3">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x14ac:dyDescent="0.3">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x14ac:dyDescent="0.3">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x14ac:dyDescent="0.3">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x14ac:dyDescent="0.3">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x14ac:dyDescent="0.3">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x14ac:dyDescent="0.3">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x14ac:dyDescent="0.3">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x14ac:dyDescent="0.3">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x14ac:dyDescent="0.3">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x14ac:dyDescent="0.3">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x14ac:dyDescent="0.3">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x14ac:dyDescent="0.3">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x14ac:dyDescent="0.3">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x14ac:dyDescent="0.3">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x14ac:dyDescent="0.3">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x14ac:dyDescent="0.3">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x14ac:dyDescent="0.3">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x14ac:dyDescent="0.3">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x14ac:dyDescent="0.3">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x14ac:dyDescent="0.3">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x14ac:dyDescent="0.3">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x14ac:dyDescent="0.3">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x14ac:dyDescent="0.3">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x14ac:dyDescent="0.3">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x14ac:dyDescent="0.3">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x14ac:dyDescent="0.3">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x14ac:dyDescent="0.3">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x14ac:dyDescent="0.3">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x14ac:dyDescent="0.3">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x14ac:dyDescent="0.3">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x14ac:dyDescent="0.3">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x14ac:dyDescent="0.3">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x14ac:dyDescent="0.3">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x14ac:dyDescent="0.3">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x14ac:dyDescent="0.3">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x14ac:dyDescent="0.3">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x14ac:dyDescent="0.3">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x14ac:dyDescent="0.3">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x14ac:dyDescent="0.3">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x14ac:dyDescent="0.3">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x14ac:dyDescent="0.3">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x14ac:dyDescent="0.3">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x14ac:dyDescent="0.3">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x14ac:dyDescent="0.3">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x14ac:dyDescent="0.3">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x14ac:dyDescent="0.3">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x14ac:dyDescent="0.3">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x14ac:dyDescent="0.3">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x14ac:dyDescent="0.3">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x14ac:dyDescent="0.3">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x14ac:dyDescent="0.3">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x14ac:dyDescent="0.3">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x14ac:dyDescent="0.3">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x14ac:dyDescent="0.3">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x14ac:dyDescent="0.3">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x14ac:dyDescent="0.3">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x14ac:dyDescent="0.3">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x14ac:dyDescent="0.3">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x14ac:dyDescent="0.3">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x14ac:dyDescent="0.3">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x14ac:dyDescent="0.3">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x14ac:dyDescent="0.3">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x14ac:dyDescent="0.3">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x14ac:dyDescent="0.3">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x14ac:dyDescent="0.3">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x14ac:dyDescent="0.3">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x14ac:dyDescent="0.3">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x14ac:dyDescent="0.3">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x14ac:dyDescent="0.3">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x14ac:dyDescent="0.3">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x14ac:dyDescent="0.3">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x14ac:dyDescent="0.3">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x14ac:dyDescent="0.3">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x14ac:dyDescent="0.3">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x14ac:dyDescent="0.3">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x14ac:dyDescent="0.3">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x14ac:dyDescent="0.3">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x14ac:dyDescent="0.3">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x14ac:dyDescent="0.3">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x14ac:dyDescent="0.3">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x14ac:dyDescent="0.3">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x14ac:dyDescent="0.3">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x14ac:dyDescent="0.3">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x14ac:dyDescent="0.3">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x14ac:dyDescent="0.3">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x14ac:dyDescent="0.3">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x14ac:dyDescent="0.3">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x14ac:dyDescent="0.3">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x14ac:dyDescent="0.3">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x14ac:dyDescent="0.3">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x14ac:dyDescent="0.3">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x14ac:dyDescent="0.3">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x14ac:dyDescent="0.3">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x14ac:dyDescent="0.3">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x14ac:dyDescent="0.3">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x14ac:dyDescent="0.3">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x14ac:dyDescent="0.3">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x14ac:dyDescent="0.3">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x14ac:dyDescent="0.3">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x14ac:dyDescent="0.3">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x14ac:dyDescent="0.3">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x14ac:dyDescent="0.3">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x14ac:dyDescent="0.3">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x14ac:dyDescent="0.3">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x14ac:dyDescent="0.3">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x14ac:dyDescent="0.3">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x14ac:dyDescent="0.3">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x14ac:dyDescent="0.3">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x14ac:dyDescent="0.3">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x14ac:dyDescent="0.3">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x14ac:dyDescent="0.3">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x14ac:dyDescent="0.3">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x14ac:dyDescent="0.3">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x14ac:dyDescent="0.3">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x14ac:dyDescent="0.3">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x14ac:dyDescent="0.3">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x14ac:dyDescent="0.3">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x14ac:dyDescent="0.3">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x14ac:dyDescent="0.3">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x14ac:dyDescent="0.3">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x14ac:dyDescent="0.3">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x14ac:dyDescent="0.3">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x14ac:dyDescent="0.3">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x14ac:dyDescent="0.3">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x14ac:dyDescent="0.3">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x14ac:dyDescent="0.3">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x14ac:dyDescent="0.3">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x14ac:dyDescent="0.3">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x14ac:dyDescent="0.3">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x14ac:dyDescent="0.3">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x14ac:dyDescent="0.3">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x14ac:dyDescent="0.3">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x14ac:dyDescent="0.3">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x14ac:dyDescent="0.3">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x14ac:dyDescent="0.3">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x14ac:dyDescent="0.3">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x14ac:dyDescent="0.3">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x14ac:dyDescent="0.3">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x14ac:dyDescent="0.3">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x14ac:dyDescent="0.3">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x14ac:dyDescent="0.3">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x14ac:dyDescent="0.3">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x14ac:dyDescent="0.3">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x14ac:dyDescent="0.3">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x14ac:dyDescent="0.3">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x14ac:dyDescent="0.3">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x14ac:dyDescent="0.3">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x14ac:dyDescent="0.3">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x14ac:dyDescent="0.3">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x14ac:dyDescent="0.3">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x14ac:dyDescent="0.3">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x14ac:dyDescent="0.3">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x14ac:dyDescent="0.3">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x14ac:dyDescent="0.3">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x14ac:dyDescent="0.3">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x14ac:dyDescent="0.3">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x14ac:dyDescent="0.3">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x14ac:dyDescent="0.3">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x14ac:dyDescent="0.3">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x14ac:dyDescent="0.3">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x14ac:dyDescent="0.3">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x14ac:dyDescent="0.3">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x14ac:dyDescent="0.3">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x14ac:dyDescent="0.3">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x14ac:dyDescent="0.3">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x14ac:dyDescent="0.3">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x14ac:dyDescent="0.3">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x14ac:dyDescent="0.3">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x14ac:dyDescent="0.3">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x14ac:dyDescent="0.3">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x14ac:dyDescent="0.3">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x14ac:dyDescent="0.3">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x14ac:dyDescent="0.3">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x14ac:dyDescent="0.3">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x14ac:dyDescent="0.3">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x14ac:dyDescent="0.3">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x14ac:dyDescent="0.3">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x14ac:dyDescent="0.3">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x14ac:dyDescent="0.3">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x14ac:dyDescent="0.3">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x14ac:dyDescent="0.3">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x14ac:dyDescent="0.3">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x14ac:dyDescent="0.3">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x14ac:dyDescent="0.3">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x14ac:dyDescent="0.3">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x14ac:dyDescent="0.3">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x14ac:dyDescent="0.3">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x14ac:dyDescent="0.3">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x14ac:dyDescent="0.3">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x14ac:dyDescent="0.3">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x14ac:dyDescent="0.3">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x14ac:dyDescent="0.3">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x14ac:dyDescent="0.3">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x14ac:dyDescent="0.3">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x14ac:dyDescent="0.3">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x14ac:dyDescent="0.3">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x14ac:dyDescent="0.3">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x14ac:dyDescent="0.3">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x14ac:dyDescent="0.3">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x14ac:dyDescent="0.3">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x14ac:dyDescent="0.3">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x14ac:dyDescent="0.3">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x14ac:dyDescent="0.3">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x14ac:dyDescent="0.3">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x14ac:dyDescent="0.3">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x14ac:dyDescent="0.3">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x14ac:dyDescent="0.3">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x14ac:dyDescent="0.3">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x14ac:dyDescent="0.3">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x14ac:dyDescent="0.3">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x14ac:dyDescent="0.3">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x14ac:dyDescent="0.3">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x14ac:dyDescent="0.3">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x14ac:dyDescent="0.3">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x14ac:dyDescent="0.3">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x14ac:dyDescent="0.3">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x14ac:dyDescent="0.3">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x14ac:dyDescent="0.3">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x14ac:dyDescent="0.3">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x14ac:dyDescent="0.3">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x14ac:dyDescent="0.3">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x14ac:dyDescent="0.3">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x14ac:dyDescent="0.3">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x14ac:dyDescent="0.3">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x14ac:dyDescent="0.3">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x14ac:dyDescent="0.3">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x14ac:dyDescent="0.3">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x14ac:dyDescent="0.3">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x14ac:dyDescent="0.3">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x14ac:dyDescent="0.3">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x14ac:dyDescent="0.3">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x14ac:dyDescent="0.3">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x14ac:dyDescent="0.3">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x14ac:dyDescent="0.3">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x14ac:dyDescent="0.3">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x14ac:dyDescent="0.3">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x14ac:dyDescent="0.3">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x14ac:dyDescent="0.3">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x14ac:dyDescent="0.3">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x14ac:dyDescent="0.3">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x14ac:dyDescent="0.3">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x14ac:dyDescent="0.3">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x14ac:dyDescent="0.3">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x14ac:dyDescent="0.3">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x14ac:dyDescent="0.3">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x14ac:dyDescent="0.3">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x14ac:dyDescent="0.3">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x14ac:dyDescent="0.3">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x14ac:dyDescent="0.3">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x14ac:dyDescent="0.3">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x14ac:dyDescent="0.3">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x14ac:dyDescent="0.3">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x14ac:dyDescent="0.3">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x14ac:dyDescent="0.3">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x14ac:dyDescent="0.3">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x14ac:dyDescent="0.3">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x14ac:dyDescent="0.3">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x14ac:dyDescent="0.3">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x14ac:dyDescent="0.3">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x14ac:dyDescent="0.3">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x14ac:dyDescent="0.3">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x14ac:dyDescent="0.3">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x14ac:dyDescent="0.3">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x14ac:dyDescent="0.3">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x14ac:dyDescent="0.3">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x14ac:dyDescent="0.3">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x14ac:dyDescent="0.3">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x14ac:dyDescent="0.3">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x14ac:dyDescent="0.3">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x14ac:dyDescent="0.3">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x14ac:dyDescent="0.3">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x14ac:dyDescent="0.3">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x14ac:dyDescent="0.3">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x14ac:dyDescent="0.3">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x14ac:dyDescent="0.3">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x14ac:dyDescent="0.3">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x14ac:dyDescent="0.3">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x14ac:dyDescent="0.3">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x14ac:dyDescent="0.3">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x14ac:dyDescent="0.3">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x14ac:dyDescent="0.3">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x14ac:dyDescent="0.3">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x14ac:dyDescent="0.3">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x14ac:dyDescent="0.3">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x14ac:dyDescent="0.3">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x14ac:dyDescent="0.3">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x14ac:dyDescent="0.3">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x14ac:dyDescent="0.3">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x14ac:dyDescent="0.3">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x14ac:dyDescent="0.3">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x14ac:dyDescent="0.3">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x14ac:dyDescent="0.3">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x14ac:dyDescent="0.3">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x14ac:dyDescent="0.3">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x14ac:dyDescent="0.3">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x14ac:dyDescent="0.3">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x14ac:dyDescent="0.3">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x14ac:dyDescent="0.3">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x14ac:dyDescent="0.3">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x14ac:dyDescent="0.3">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x14ac:dyDescent="0.3">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x14ac:dyDescent="0.3">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x14ac:dyDescent="0.3">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x14ac:dyDescent="0.3">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x14ac:dyDescent="0.3">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x14ac:dyDescent="0.3">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x14ac:dyDescent="0.3">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x14ac:dyDescent="0.3">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x14ac:dyDescent="0.3">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x14ac:dyDescent="0.3">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x14ac:dyDescent="0.3">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x14ac:dyDescent="0.3">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x14ac:dyDescent="0.3">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x14ac:dyDescent="0.3">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x14ac:dyDescent="0.3">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x14ac:dyDescent="0.3">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x14ac:dyDescent="0.3">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x14ac:dyDescent="0.3">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x14ac:dyDescent="0.3">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x14ac:dyDescent="0.3">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x14ac:dyDescent="0.3">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x14ac:dyDescent="0.3">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x14ac:dyDescent="0.3">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x14ac:dyDescent="0.3">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x14ac:dyDescent="0.3">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x14ac:dyDescent="0.3">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x14ac:dyDescent="0.3">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x14ac:dyDescent="0.3">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x14ac:dyDescent="0.3">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x14ac:dyDescent="0.3">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x14ac:dyDescent="0.3">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x14ac:dyDescent="0.3">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x14ac:dyDescent="0.3">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x14ac:dyDescent="0.3">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x14ac:dyDescent="0.3">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x14ac:dyDescent="0.3">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x14ac:dyDescent="0.3">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x14ac:dyDescent="0.3">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x14ac:dyDescent="0.3">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x14ac:dyDescent="0.3">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x14ac:dyDescent="0.3">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x14ac:dyDescent="0.3">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x14ac:dyDescent="0.3">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x14ac:dyDescent="0.3">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x14ac:dyDescent="0.3">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x14ac:dyDescent="0.3">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x14ac:dyDescent="0.3">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x14ac:dyDescent="0.3">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x14ac:dyDescent="0.3">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x14ac:dyDescent="0.3">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x14ac:dyDescent="0.3">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x14ac:dyDescent="0.3">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x14ac:dyDescent="0.3">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x14ac:dyDescent="0.3">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x14ac:dyDescent="0.3">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x14ac:dyDescent="0.3">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x14ac:dyDescent="0.3">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x14ac:dyDescent="0.3">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x14ac:dyDescent="0.3">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x14ac:dyDescent="0.3">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x14ac:dyDescent="0.3">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x14ac:dyDescent="0.3">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x14ac:dyDescent="0.3">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x14ac:dyDescent="0.3">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x14ac:dyDescent="0.3">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x14ac:dyDescent="0.3">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x14ac:dyDescent="0.3">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x14ac:dyDescent="0.3">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x14ac:dyDescent="0.3">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x14ac:dyDescent="0.3">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x14ac:dyDescent="0.3">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x14ac:dyDescent="0.3">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x14ac:dyDescent="0.3">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x14ac:dyDescent="0.3">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x14ac:dyDescent="0.3">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x14ac:dyDescent="0.3">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x14ac:dyDescent="0.3">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x14ac:dyDescent="0.3">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x14ac:dyDescent="0.3">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x14ac:dyDescent="0.3">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x14ac:dyDescent="0.3">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x14ac:dyDescent="0.3">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x14ac:dyDescent="0.3">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x14ac:dyDescent="0.3">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x14ac:dyDescent="0.3">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x14ac:dyDescent="0.3">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x14ac:dyDescent="0.3">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x14ac:dyDescent="0.3">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x14ac:dyDescent="0.3">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x14ac:dyDescent="0.3">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x14ac:dyDescent="0.3">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x14ac:dyDescent="0.3">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x14ac:dyDescent="0.3">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x14ac:dyDescent="0.3">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x14ac:dyDescent="0.3">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x14ac:dyDescent="0.3">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x14ac:dyDescent="0.3">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x14ac:dyDescent="0.3">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x14ac:dyDescent="0.3">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x14ac:dyDescent="0.3">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x14ac:dyDescent="0.3">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x14ac:dyDescent="0.3">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x14ac:dyDescent="0.3">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x14ac:dyDescent="0.3">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x14ac:dyDescent="0.3">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x14ac:dyDescent="0.3">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x14ac:dyDescent="0.3">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x14ac:dyDescent="0.3">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x14ac:dyDescent="0.3">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x14ac:dyDescent="0.3">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x14ac:dyDescent="0.3">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x14ac:dyDescent="0.3">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x14ac:dyDescent="0.3">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x14ac:dyDescent="0.3">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x14ac:dyDescent="0.3">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x14ac:dyDescent="0.3">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x14ac:dyDescent="0.3">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x14ac:dyDescent="0.3">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x14ac:dyDescent="0.3">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x14ac:dyDescent="0.3">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x14ac:dyDescent="0.3">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x14ac:dyDescent="0.3">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x14ac:dyDescent="0.3">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x14ac:dyDescent="0.3">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x14ac:dyDescent="0.3">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x14ac:dyDescent="0.3">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x14ac:dyDescent="0.3">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x14ac:dyDescent="0.3">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x14ac:dyDescent="0.3">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x14ac:dyDescent="0.3">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x14ac:dyDescent="0.3">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x14ac:dyDescent="0.3">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x14ac:dyDescent="0.3">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x14ac:dyDescent="0.3">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x14ac:dyDescent="0.3">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x14ac:dyDescent="0.3">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x14ac:dyDescent="0.3">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x14ac:dyDescent="0.3">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x14ac:dyDescent="0.3">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x14ac:dyDescent="0.3">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x14ac:dyDescent="0.3">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x14ac:dyDescent="0.3">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x14ac:dyDescent="0.3">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x14ac:dyDescent="0.3">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x14ac:dyDescent="0.3">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x14ac:dyDescent="0.3">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x14ac:dyDescent="0.3">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x14ac:dyDescent="0.3">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x14ac:dyDescent="0.3">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x14ac:dyDescent="0.3">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x14ac:dyDescent="0.3">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x14ac:dyDescent="0.3">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x14ac:dyDescent="0.3">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x14ac:dyDescent="0.3">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x14ac:dyDescent="0.3">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x14ac:dyDescent="0.3">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x14ac:dyDescent="0.3">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x14ac:dyDescent="0.3">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x14ac:dyDescent="0.3">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x14ac:dyDescent="0.3">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x14ac:dyDescent="0.3">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x14ac:dyDescent="0.3">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x14ac:dyDescent="0.3">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x14ac:dyDescent="0.3">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x14ac:dyDescent="0.3">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x14ac:dyDescent="0.3">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x14ac:dyDescent="0.3">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x14ac:dyDescent="0.3">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x14ac:dyDescent="0.3">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x14ac:dyDescent="0.3">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x14ac:dyDescent="0.3">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x14ac:dyDescent="0.3">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x14ac:dyDescent="0.3">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x14ac:dyDescent="0.3">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x14ac:dyDescent="0.3">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x14ac:dyDescent="0.3">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x14ac:dyDescent="0.3">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x14ac:dyDescent="0.3">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x14ac:dyDescent="0.3">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x14ac:dyDescent="0.3">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x14ac:dyDescent="0.3">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x14ac:dyDescent="0.3">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x14ac:dyDescent="0.3">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x14ac:dyDescent="0.3">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x14ac:dyDescent="0.3">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x14ac:dyDescent="0.3">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x14ac:dyDescent="0.3">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x14ac:dyDescent="0.3">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x14ac:dyDescent="0.3">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x14ac:dyDescent="0.3">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x14ac:dyDescent="0.3">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x14ac:dyDescent="0.3">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x14ac:dyDescent="0.3">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x14ac:dyDescent="0.3">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x14ac:dyDescent="0.3">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x14ac:dyDescent="0.3">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x14ac:dyDescent="0.3">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x14ac:dyDescent="0.3">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x14ac:dyDescent="0.3">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x14ac:dyDescent="0.3">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x14ac:dyDescent="0.3">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x14ac:dyDescent="0.3">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x14ac:dyDescent="0.3">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x14ac:dyDescent="0.3">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x14ac:dyDescent="0.3">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x14ac:dyDescent="0.3">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x14ac:dyDescent="0.3">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x14ac:dyDescent="0.3">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x14ac:dyDescent="0.3">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x14ac:dyDescent="0.3">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x14ac:dyDescent="0.3">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x14ac:dyDescent="0.3">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x14ac:dyDescent="0.3">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x14ac:dyDescent="0.3">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x14ac:dyDescent="0.3">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x14ac:dyDescent="0.3">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x14ac:dyDescent="0.3">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x14ac:dyDescent="0.3">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x14ac:dyDescent="0.3">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x14ac:dyDescent="0.3">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x14ac:dyDescent="0.3">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x14ac:dyDescent="0.3">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x14ac:dyDescent="0.3">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x14ac:dyDescent="0.3">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x14ac:dyDescent="0.3">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x14ac:dyDescent="0.3">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x14ac:dyDescent="0.3">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x14ac:dyDescent="0.3">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x14ac:dyDescent="0.3">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x14ac:dyDescent="0.3">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x14ac:dyDescent="0.3">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x14ac:dyDescent="0.3">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x14ac:dyDescent="0.3">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x14ac:dyDescent="0.3">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x14ac:dyDescent="0.3">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x14ac:dyDescent="0.3">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x14ac:dyDescent="0.3">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x14ac:dyDescent="0.3">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x14ac:dyDescent="0.3">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x14ac:dyDescent="0.3">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x14ac:dyDescent="0.3">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x14ac:dyDescent="0.3">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x14ac:dyDescent="0.3">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x14ac:dyDescent="0.3">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x14ac:dyDescent="0.3">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x14ac:dyDescent="0.3">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x14ac:dyDescent="0.3">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x14ac:dyDescent="0.3">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x14ac:dyDescent="0.3">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x14ac:dyDescent="0.3">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x14ac:dyDescent="0.3">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x14ac:dyDescent="0.3">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x14ac:dyDescent="0.3">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x14ac:dyDescent="0.3">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x14ac:dyDescent="0.3">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x14ac:dyDescent="0.3">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x14ac:dyDescent="0.3">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x14ac:dyDescent="0.3">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x14ac:dyDescent="0.3">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x14ac:dyDescent="0.3">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x14ac:dyDescent="0.3">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x14ac:dyDescent="0.3">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x14ac:dyDescent="0.3">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x14ac:dyDescent="0.3">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x14ac:dyDescent="0.3">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x14ac:dyDescent="0.3">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x14ac:dyDescent="0.3">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x14ac:dyDescent="0.3">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x14ac:dyDescent="0.3">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x14ac:dyDescent="0.3">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x14ac:dyDescent="0.3">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x14ac:dyDescent="0.3">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x14ac:dyDescent="0.3">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x14ac:dyDescent="0.3">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x14ac:dyDescent="0.3">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x14ac:dyDescent="0.3">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x14ac:dyDescent="0.3">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x14ac:dyDescent="0.3">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x14ac:dyDescent="0.3">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x14ac:dyDescent="0.3">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x14ac:dyDescent="0.3">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x14ac:dyDescent="0.3">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x14ac:dyDescent="0.3">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x14ac:dyDescent="0.3">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x14ac:dyDescent="0.3">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x14ac:dyDescent="0.3">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x14ac:dyDescent="0.3">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x14ac:dyDescent="0.3">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x14ac:dyDescent="0.3">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x14ac:dyDescent="0.3">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x14ac:dyDescent="0.3">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x14ac:dyDescent="0.3">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x14ac:dyDescent="0.3">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x14ac:dyDescent="0.3">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x14ac:dyDescent="0.3">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x14ac:dyDescent="0.3">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x14ac:dyDescent="0.3">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x14ac:dyDescent="0.3">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x14ac:dyDescent="0.3">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x14ac:dyDescent="0.3">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x14ac:dyDescent="0.3">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x14ac:dyDescent="0.3">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x14ac:dyDescent="0.3">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x14ac:dyDescent="0.3">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x14ac:dyDescent="0.3">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x14ac:dyDescent="0.3">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x14ac:dyDescent="0.3">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x14ac:dyDescent="0.3">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x14ac:dyDescent="0.3">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x14ac:dyDescent="0.3">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x14ac:dyDescent="0.3">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x14ac:dyDescent="0.3">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x14ac:dyDescent="0.3">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x14ac:dyDescent="0.3">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x14ac:dyDescent="0.3">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x14ac:dyDescent="0.3">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x14ac:dyDescent="0.3">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x14ac:dyDescent="0.3">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x14ac:dyDescent="0.3">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x14ac:dyDescent="0.3">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x14ac:dyDescent="0.3">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x14ac:dyDescent="0.3">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x14ac:dyDescent="0.3">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x14ac:dyDescent="0.3">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x14ac:dyDescent="0.3">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x14ac:dyDescent="0.3">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x14ac:dyDescent="0.3">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x14ac:dyDescent="0.3">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x14ac:dyDescent="0.3">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x14ac:dyDescent="0.3">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x14ac:dyDescent="0.3">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x14ac:dyDescent="0.3">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x14ac:dyDescent="0.3">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x14ac:dyDescent="0.3">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x14ac:dyDescent="0.3">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x14ac:dyDescent="0.3">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x14ac:dyDescent="0.3">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x14ac:dyDescent="0.3">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x14ac:dyDescent="0.3">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x14ac:dyDescent="0.3">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x14ac:dyDescent="0.3">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x14ac:dyDescent="0.3">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x14ac:dyDescent="0.3">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x14ac:dyDescent="0.3">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x14ac:dyDescent="0.3">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x14ac:dyDescent="0.3">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x14ac:dyDescent="0.3">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x14ac:dyDescent="0.3">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x14ac:dyDescent="0.3">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x14ac:dyDescent="0.3">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x14ac:dyDescent="0.3">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x14ac:dyDescent="0.3">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x14ac:dyDescent="0.3">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x14ac:dyDescent="0.3">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x14ac:dyDescent="0.3">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x14ac:dyDescent="0.3">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x14ac:dyDescent="0.3">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x14ac:dyDescent="0.3">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x14ac:dyDescent="0.3">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x14ac:dyDescent="0.3">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x14ac:dyDescent="0.3">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x14ac:dyDescent="0.3">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x14ac:dyDescent="0.3">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x14ac:dyDescent="0.3">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x14ac:dyDescent="0.3">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x14ac:dyDescent="0.3">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x14ac:dyDescent="0.3">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x14ac:dyDescent="0.3">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x14ac:dyDescent="0.3">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x14ac:dyDescent="0.3">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x14ac:dyDescent="0.3">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x14ac:dyDescent="0.3">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x14ac:dyDescent="0.3">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x14ac:dyDescent="0.3">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x14ac:dyDescent="0.3">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x14ac:dyDescent="0.3">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x14ac:dyDescent="0.3">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x14ac:dyDescent="0.3">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x14ac:dyDescent="0.3">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x14ac:dyDescent="0.3">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x14ac:dyDescent="0.3">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x14ac:dyDescent="0.3">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x14ac:dyDescent="0.3">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x14ac:dyDescent="0.3">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x14ac:dyDescent="0.3">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x14ac:dyDescent="0.3">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x14ac:dyDescent="0.3">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x14ac:dyDescent="0.3">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x14ac:dyDescent="0.3">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x14ac:dyDescent="0.3">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x14ac:dyDescent="0.3">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x14ac:dyDescent="0.3">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x14ac:dyDescent="0.3">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x14ac:dyDescent="0.3">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x14ac:dyDescent="0.3">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x14ac:dyDescent="0.3">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x14ac:dyDescent="0.3">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x14ac:dyDescent="0.3">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x14ac:dyDescent="0.3">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x14ac:dyDescent="0.3">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x14ac:dyDescent="0.3">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x14ac:dyDescent="0.3">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x14ac:dyDescent="0.3">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x14ac:dyDescent="0.3">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x14ac:dyDescent="0.3">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x14ac:dyDescent="0.3">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x14ac:dyDescent="0.3">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x14ac:dyDescent="0.3">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x14ac:dyDescent="0.3">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x14ac:dyDescent="0.3">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x14ac:dyDescent="0.3">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x14ac:dyDescent="0.3">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x14ac:dyDescent="0.3">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x14ac:dyDescent="0.3">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x14ac:dyDescent="0.3">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x14ac:dyDescent="0.3">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x14ac:dyDescent="0.3">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x14ac:dyDescent="0.3">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x14ac:dyDescent="0.3">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x14ac:dyDescent="0.3">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x14ac:dyDescent="0.3">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x14ac:dyDescent="0.3">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x14ac:dyDescent="0.3">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x14ac:dyDescent="0.3">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x14ac:dyDescent="0.3">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x14ac:dyDescent="0.3">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x14ac:dyDescent="0.3">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x14ac:dyDescent="0.3">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x14ac:dyDescent="0.3">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x14ac:dyDescent="0.3">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x14ac:dyDescent="0.3">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x14ac:dyDescent="0.3">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x14ac:dyDescent="0.3">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x14ac:dyDescent="0.3">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x14ac:dyDescent="0.3">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x14ac:dyDescent="0.3">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x14ac:dyDescent="0.3">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x14ac:dyDescent="0.3">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x14ac:dyDescent="0.3">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x14ac:dyDescent="0.3">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x14ac:dyDescent="0.3">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x14ac:dyDescent="0.3">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x14ac:dyDescent="0.3">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x14ac:dyDescent="0.3">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x14ac:dyDescent="0.3">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x14ac:dyDescent="0.3">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x14ac:dyDescent="0.3">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x14ac:dyDescent="0.3">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x14ac:dyDescent="0.3">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x14ac:dyDescent="0.3">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x14ac:dyDescent="0.3">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x14ac:dyDescent="0.3">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x14ac:dyDescent="0.3">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x14ac:dyDescent="0.3">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x14ac:dyDescent="0.3">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x14ac:dyDescent="0.3">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x14ac:dyDescent="0.3">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x14ac:dyDescent="0.3">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x14ac:dyDescent="0.3">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x14ac:dyDescent="0.3">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x14ac:dyDescent="0.3">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x14ac:dyDescent="0.3">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x14ac:dyDescent="0.3">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x14ac:dyDescent="0.3">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x14ac:dyDescent="0.3">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x14ac:dyDescent="0.3">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x14ac:dyDescent="0.3">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x14ac:dyDescent="0.3">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x14ac:dyDescent="0.3">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x14ac:dyDescent="0.3">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x14ac:dyDescent="0.3">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x14ac:dyDescent="0.3">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x14ac:dyDescent="0.3">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x14ac:dyDescent="0.3">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x14ac:dyDescent="0.3">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x14ac:dyDescent="0.3">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x14ac:dyDescent="0.3">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x14ac:dyDescent="0.3">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x14ac:dyDescent="0.3">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x14ac:dyDescent="0.3">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x14ac:dyDescent="0.3">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x14ac:dyDescent="0.3">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x14ac:dyDescent="0.3">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x14ac:dyDescent="0.3">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x14ac:dyDescent="0.3">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x14ac:dyDescent="0.3">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x14ac:dyDescent="0.3">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x14ac:dyDescent="0.3">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x14ac:dyDescent="0.3">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x14ac:dyDescent="0.3">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x14ac:dyDescent="0.3">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x14ac:dyDescent="0.3">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x14ac:dyDescent="0.3">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x14ac:dyDescent="0.3">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x14ac:dyDescent="0.3">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x14ac:dyDescent="0.3">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x14ac:dyDescent="0.3">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x14ac:dyDescent="0.3">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x14ac:dyDescent="0.3">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x14ac:dyDescent="0.3">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x14ac:dyDescent="0.3">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x14ac:dyDescent="0.3">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x14ac:dyDescent="0.3">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x14ac:dyDescent="0.3">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x14ac:dyDescent="0.3">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x14ac:dyDescent="0.3">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x14ac:dyDescent="0.3">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x14ac:dyDescent="0.3">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x14ac:dyDescent="0.3">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x14ac:dyDescent="0.3">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x14ac:dyDescent="0.3">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x14ac:dyDescent="0.3">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x14ac:dyDescent="0.3">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x14ac:dyDescent="0.3">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x14ac:dyDescent="0.3">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x14ac:dyDescent="0.3">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x14ac:dyDescent="0.3">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x14ac:dyDescent="0.3">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x14ac:dyDescent="0.3">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x14ac:dyDescent="0.3">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x14ac:dyDescent="0.3">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x14ac:dyDescent="0.3">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x14ac:dyDescent="0.3">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x14ac:dyDescent="0.3">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x14ac:dyDescent="0.3">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x14ac:dyDescent="0.3">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x14ac:dyDescent="0.3">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x14ac:dyDescent="0.3">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x14ac:dyDescent="0.3">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x14ac:dyDescent="0.3">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x14ac:dyDescent="0.3">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x14ac:dyDescent="0.3">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x14ac:dyDescent="0.3">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x14ac:dyDescent="0.3">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x14ac:dyDescent="0.3">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x14ac:dyDescent="0.3">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x14ac:dyDescent="0.3">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x14ac:dyDescent="0.3">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x14ac:dyDescent="0.3">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x14ac:dyDescent="0.3">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x14ac:dyDescent="0.3">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x14ac:dyDescent="0.3">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x14ac:dyDescent="0.3">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x14ac:dyDescent="0.3">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x14ac:dyDescent="0.3">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x14ac:dyDescent="0.3">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x14ac:dyDescent="0.3">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x14ac:dyDescent="0.3">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x14ac:dyDescent="0.3">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x14ac:dyDescent="0.3">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x14ac:dyDescent="0.3">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x14ac:dyDescent="0.3">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x14ac:dyDescent="0.3">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x14ac:dyDescent="0.3">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x14ac:dyDescent="0.3">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x14ac:dyDescent="0.3">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x14ac:dyDescent="0.3">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x14ac:dyDescent="0.3">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x14ac:dyDescent="0.3">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x14ac:dyDescent="0.3">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x14ac:dyDescent="0.3">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x14ac:dyDescent="0.3">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x14ac:dyDescent="0.3">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x14ac:dyDescent="0.3">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x14ac:dyDescent="0.3">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x14ac:dyDescent="0.3">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x14ac:dyDescent="0.3">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x14ac:dyDescent="0.3">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x14ac:dyDescent="0.3">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x14ac:dyDescent="0.3">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x14ac:dyDescent="0.3">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x14ac:dyDescent="0.3">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x14ac:dyDescent="0.3">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x14ac:dyDescent="0.3">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x14ac:dyDescent="0.3">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x14ac:dyDescent="0.3">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x14ac:dyDescent="0.3">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x14ac:dyDescent="0.3">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x14ac:dyDescent="0.3">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x14ac:dyDescent="0.3">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x14ac:dyDescent="0.3">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x14ac:dyDescent="0.3">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x14ac:dyDescent="0.3">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x14ac:dyDescent="0.3">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x14ac:dyDescent="0.3">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x14ac:dyDescent="0.3">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x14ac:dyDescent="0.3">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x14ac:dyDescent="0.3">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x14ac:dyDescent="0.3">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x14ac:dyDescent="0.3">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x14ac:dyDescent="0.3">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x14ac:dyDescent="0.3">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x14ac:dyDescent="0.3">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x14ac:dyDescent="0.3">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x14ac:dyDescent="0.3">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x14ac:dyDescent="0.3">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x14ac:dyDescent="0.3">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x14ac:dyDescent="0.3">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x14ac:dyDescent="0.3">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x14ac:dyDescent="0.3">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x14ac:dyDescent="0.3">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x14ac:dyDescent="0.3">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x14ac:dyDescent="0.3">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x14ac:dyDescent="0.3">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x14ac:dyDescent="0.3">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x14ac:dyDescent="0.3">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x14ac:dyDescent="0.3">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x14ac:dyDescent="0.3">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x14ac:dyDescent="0.3">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x14ac:dyDescent="0.3">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x14ac:dyDescent="0.3">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x14ac:dyDescent="0.3">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x14ac:dyDescent="0.3">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x14ac:dyDescent="0.3">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x14ac:dyDescent="0.3">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x14ac:dyDescent="0.3">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x14ac:dyDescent="0.3">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x14ac:dyDescent="0.3">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x14ac:dyDescent="0.3">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x14ac:dyDescent="0.3">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x14ac:dyDescent="0.3">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x14ac:dyDescent="0.3">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x14ac:dyDescent="0.3">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x14ac:dyDescent="0.3">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x14ac:dyDescent="0.3">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x14ac:dyDescent="0.3">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x14ac:dyDescent="0.3">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x14ac:dyDescent="0.3">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x14ac:dyDescent="0.3">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x14ac:dyDescent="0.3">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x14ac:dyDescent="0.3">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x14ac:dyDescent="0.3">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x14ac:dyDescent="0.3">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x14ac:dyDescent="0.3">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x14ac:dyDescent="0.3">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x14ac:dyDescent="0.3">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x14ac:dyDescent="0.3">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x14ac:dyDescent="0.3">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x14ac:dyDescent="0.3">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x14ac:dyDescent="0.3">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x14ac:dyDescent="0.3">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x14ac:dyDescent="0.3">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x14ac:dyDescent="0.3">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x14ac:dyDescent="0.3">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x14ac:dyDescent="0.3">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x14ac:dyDescent="0.3">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x14ac:dyDescent="0.3">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x14ac:dyDescent="0.3">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x14ac:dyDescent="0.3">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x14ac:dyDescent="0.3">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x14ac:dyDescent="0.3">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x14ac:dyDescent="0.3">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x14ac:dyDescent="0.3">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x14ac:dyDescent="0.3">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x14ac:dyDescent="0.3">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x14ac:dyDescent="0.3">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x14ac:dyDescent="0.3">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x14ac:dyDescent="0.3">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x14ac:dyDescent="0.3">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x14ac:dyDescent="0.3">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x14ac:dyDescent="0.3">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x14ac:dyDescent="0.3">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x14ac:dyDescent="0.3">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x14ac:dyDescent="0.3">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x14ac:dyDescent="0.3">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x14ac:dyDescent="0.3">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x14ac:dyDescent="0.3">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x14ac:dyDescent="0.3">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x14ac:dyDescent="0.3">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x14ac:dyDescent="0.3">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x14ac:dyDescent="0.3">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x14ac:dyDescent="0.3">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x14ac:dyDescent="0.3">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x14ac:dyDescent="0.3">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x14ac:dyDescent="0.3">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x14ac:dyDescent="0.3">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x14ac:dyDescent="0.3">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x14ac:dyDescent="0.3">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x14ac:dyDescent="0.3">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x14ac:dyDescent="0.3">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x14ac:dyDescent="0.3">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x14ac:dyDescent="0.3">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x14ac:dyDescent="0.3">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x14ac:dyDescent="0.3">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x14ac:dyDescent="0.3">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x14ac:dyDescent="0.3">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x14ac:dyDescent="0.3">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x14ac:dyDescent="0.3">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x14ac:dyDescent="0.3">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x14ac:dyDescent="0.3">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x14ac:dyDescent="0.3">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x14ac:dyDescent="0.3">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x14ac:dyDescent="0.3">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x14ac:dyDescent="0.3">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x14ac:dyDescent="0.3">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x14ac:dyDescent="0.3">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x14ac:dyDescent="0.3">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x14ac:dyDescent="0.3">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x14ac:dyDescent="0.3">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x14ac:dyDescent="0.3">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x14ac:dyDescent="0.3">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x14ac:dyDescent="0.3">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x14ac:dyDescent="0.3">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x14ac:dyDescent="0.3">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x14ac:dyDescent="0.3">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x14ac:dyDescent="0.3">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x14ac:dyDescent="0.3">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x14ac:dyDescent="0.3">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x14ac:dyDescent="0.3">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x14ac:dyDescent="0.3">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x14ac:dyDescent="0.3">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x14ac:dyDescent="0.3">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x14ac:dyDescent="0.3">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x14ac:dyDescent="0.3">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x14ac:dyDescent="0.3">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x14ac:dyDescent="0.3">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x14ac:dyDescent="0.3">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x14ac:dyDescent="0.3">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x14ac:dyDescent="0.3">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x14ac:dyDescent="0.3">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x14ac:dyDescent="0.3">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x14ac:dyDescent="0.3">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x14ac:dyDescent="0.3">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x14ac:dyDescent="0.3">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x14ac:dyDescent="0.3">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x14ac:dyDescent="0.3">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x14ac:dyDescent="0.3">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x14ac:dyDescent="0.3">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x14ac:dyDescent="0.3">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x14ac:dyDescent="0.3">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x14ac:dyDescent="0.3">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x14ac:dyDescent="0.3">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x14ac:dyDescent="0.3">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x14ac:dyDescent="0.3">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x14ac:dyDescent="0.3">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x14ac:dyDescent="0.3">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x14ac:dyDescent="0.3">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x14ac:dyDescent="0.3">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x14ac:dyDescent="0.3">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x14ac:dyDescent="0.3">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x14ac:dyDescent="0.3">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x14ac:dyDescent="0.3">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x14ac:dyDescent="0.3">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x14ac:dyDescent="0.3">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x14ac:dyDescent="0.3">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x14ac:dyDescent="0.3">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x14ac:dyDescent="0.3">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x14ac:dyDescent="0.3">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x14ac:dyDescent="0.3">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x14ac:dyDescent="0.3">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x14ac:dyDescent="0.3">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x14ac:dyDescent="0.3">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x14ac:dyDescent="0.3">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x14ac:dyDescent="0.3">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x14ac:dyDescent="0.3">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x14ac:dyDescent="0.3">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x14ac:dyDescent="0.3">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x14ac:dyDescent="0.3">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x14ac:dyDescent="0.3">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x14ac:dyDescent="0.3">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x14ac:dyDescent="0.3">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x14ac:dyDescent="0.3">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x14ac:dyDescent="0.3">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x14ac:dyDescent="0.3">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x14ac:dyDescent="0.3">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x14ac:dyDescent="0.3">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x14ac:dyDescent="0.3">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x14ac:dyDescent="0.3">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x14ac:dyDescent="0.3">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x14ac:dyDescent="0.3">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x14ac:dyDescent="0.3">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x14ac:dyDescent="0.3">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x14ac:dyDescent="0.3">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x14ac:dyDescent="0.3">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x14ac:dyDescent="0.3">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x14ac:dyDescent="0.3">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x14ac:dyDescent="0.3">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x14ac:dyDescent="0.3">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x14ac:dyDescent="0.3">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x14ac:dyDescent="0.3">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x14ac:dyDescent="0.3">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x14ac:dyDescent="0.3">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x14ac:dyDescent="0.3">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x14ac:dyDescent="0.3">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x14ac:dyDescent="0.3">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x14ac:dyDescent="0.3">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x14ac:dyDescent="0.3">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x14ac:dyDescent="0.3">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x14ac:dyDescent="0.3">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x14ac:dyDescent="0.3">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x14ac:dyDescent="0.3">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x14ac:dyDescent="0.3">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x14ac:dyDescent="0.3">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x14ac:dyDescent="0.3">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x14ac:dyDescent="0.3">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x14ac:dyDescent="0.3">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x14ac:dyDescent="0.3">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x14ac:dyDescent="0.3">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x14ac:dyDescent="0.3">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x14ac:dyDescent="0.3">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x14ac:dyDescent="0.3">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x14ac:dyDescent="0.3">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x14ac:dyDescent="0.3">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x14ac:dyDescent="0.3">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x14ac:dyDescent="0.3">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x14ac:dyDescent="0.3">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x14ac:dyDescent="0.3">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x14ac:dyDescent="0.3">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x14ac:dyDescent="0.3">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x14ac:dyDescent="0.3">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x14ac:dyDescent="0.3">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x14ac:dyDescent="0.3">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x14ac:dyDescent="0.3">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x14ac:dyDescent="0.3">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x14ac:dyDescent="0.3">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x14ac:dyDescent="0.3">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x14ac:dyDescent="0.3">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x14ac:dyDescent="0.3">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x14ac:dyDescent="0.3">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x14ac:dyDescent="0.3">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x14ac:dyDescent="0.3">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x14ac:dyDescent="0.3">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x14ac:dyDescent="0.3">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x14ac:dyDescent="0.3">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x14ac:dyDescent="0.3">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x14ac:dyDescent="0.3">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x14ac:dyDescent="0.3">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x14ac:dyDescent="0.3">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x14ac:dyDescent="0.3">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x14ac:dyDescent="0.3">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x14ac:dyDescent="0.3">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x14ac:dyDescent="0.3">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x14ac:dyDescent="0.3">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x14ac:dyDescent="0.3">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x14ac:dyDescent="0.3">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x14ac:dyDescent="0.3">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x14ac:dyDescent="0.3">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x14ac:dyDescent="0.3">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x14ac:dyDescent="0.3">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x14ac:dyDescent="0.3">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x14ac:dyDescent="0.3">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x14ac:dyDescent="0.3">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x14ac:dyDescent="0.3">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x14ac:dyDescent="0.3">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x14ac:dyDescent="0.3">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x14ac:dyDescent="0.3">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x14ac:dyDescent="0.3">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x14ac:dyDescent="0.3">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x14ac:dyDescent="0.3">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x14ac:dyDescent="0.3">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x14ac:dyDescent="0.3">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x14ac:dyDescent="0.3">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x14ac:dyDescent="0.3">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x14ac:dyDescent="0.3">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x14ac:dyDescent="0.3">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x14ac:dyDescent="0.3">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x14ac:dyDescent="0.3">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x14ac:dyDescent="0.3">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x14ac:dyDescent="0.3">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x14ac:dyDescent="0.3">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x14ac:dyDescent="0.3">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x14ac:dyDescent="0.3">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x14ac:dyDescent="0.3">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x14ac:dyDescent="0.3">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x14ac:dyDescent="0.3">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x14ac:dyDescent="0.3">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x14ac:dyDescent="0.3">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x14ac:dyDescent="0.3">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x14ac:dyDescent="0.3">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x14ac:dyDescent="0.3">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x14ac:dyDescent="0.3">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x14ac:dyDescent="0.3">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x14ac:dyDescent="0.3">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x14ac:dyDescent="0.3">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x14ac:dyDescent="0.3">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x14ac:dyDescent="0.3">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x14ac:dyDescent="0.3">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x14ac:dyDescent="0.3">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x14ac:dyDescent="0.3">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x14ac:dyDescent="0.3">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x14ac:dyDescent="0.3">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x14ac:dyDescent="0.3">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x14ac:dyDescent="0.3">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x14ac:dyDescent="0.3">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x14ac:dyDescent="0.3">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x14ac:dyDescent="0.3">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x14ac:dyDescent="0.3">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x14ac:dyDescent="0.3">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x14ac:dyDescent="0.3">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x14ac:dyDescent="0.3">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x14ac:dyDescent="0.3">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x14ac:dyDescent="0.3">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x14ac:dyDescent="0.3">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x14ac:dyDescent="0.3">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x14ac:dyDescent="0.3">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x14ac:dyDescent="0.3">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x14ac:dyDescent="0.3">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x14ac:dyDescent="0.3">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x14ac:dyDescent="0.3">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x14ac:dyDescent="0.3">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x14ac:dyDescent="0.3">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x14ac:dyDescent="0.3">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x14ac:dyDescent="0.3">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x14ac:dyDescent="0.3">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x14ac:dyDescent="0.3">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x14ac:dyDescent="0.3">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x14ac:dyDescent="0.3">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x14ac:dyDescent="0.3">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x14ac:dyDescent="0.3">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x14ac:dyDescent="0.3">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x14ac:dyDescent="0.3">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x14ac:dyDescent="0.3">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x14ac:dyDescent="0.3">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x14ac:dyDescent="0.3">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x14ac:dyDescent="0.3">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x14ac:dyDescent="0.3">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x14ac:dyDescent="0.3">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x14ac:dyDescent="0.3">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x14ac:dyDescent="0.3">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x14ac:dyDescent="0.3">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x14ac:dyDescent="0.3">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x14ac:dyDescent="0.3">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x14ac:dyDescent="0.3">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x14ac:dyDescent="0.3">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x14ac:dyDescent="0.3">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x14ac:dyDescent="0.3">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x14ac:dyDescent="0.3">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x14ac:dyDescent="0.3">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x14ac:dyDescent="0.3">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x14ac:dyDescent="0.3">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x14ac:dyDescent="0.3">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x14ac:dyDescent="0.3">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x14ac:dyDescent="0.3">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x14ac:dyDescent="0.3">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x14ac:dyDescent="0.3">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x14ac:dyDescent="0.3">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x14ac:dyDescent="0.3">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x14ac:dyDescent="0.3">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x14ac:dyDescent="0.3">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x14ac:dyDescent="0.3">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x14ac:dyDescent="0.3">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x14ac:dyDescent="0.3">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x14ac:dyDescent="0.3">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x14ac:dyDescent="0.3">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x14ac:dyDescent="0.3">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x14ac:dyDescent="0.3">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x14ac:dyDescent="0.3">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x14ac:dyDescent="0.3">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x14ac:dyDescent="0.3">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x14ac:dyDescent="0.3">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x14ac:dyDescent="0.3">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x14ac:dyDescent="0.3">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x14ac:dyDescent="0.3">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x14ac:dyDescent="0.3">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x14ac:dyDescent="0.3">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x14ac:dyDescent="0.3">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x14ac:dyDescent="0.3">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x14ac:dyDescent="0.3">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x14ac:dyDescent="0.3">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x14ac:dyDescent="0.3">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x14ac:dyDescent="0.3">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x14ac:dyDescent="0.3">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x14ac:dyDescent="0.3">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x14ac:dyDescent="0.3">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x14ac:dyDescent="0.3">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x14ac:dyDescent="0.3">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x14ac:dyDescent="0.3">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x14ac:dyDescent="0.3">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x14ac:dyDescent="0.3">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x14ac:dyDescent="0.3">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x14ac:dyDescent="0.3">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x14ac:dyDescent="0.3">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x14ac:dyDescent="0.3">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x14ac:dyDescent="0.3">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x14ac:dyDescent="0.3">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x14ac:dyDescent="0.3">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x14ac:dyDescent="0.3">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x14ac:dyDescent="0.3">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x14ac:dyDescent="0.3">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x14ac:dyDescent="0.3">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x14ac:dyDescent="0.3">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x14ac:dyDescent="0.3">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x14ac:dyDescent="0.3">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x14ac:dyDescent="0.3">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x14ac:dyDescent="0.3">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x14ac:dyDescent="0.3">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x14ac:dyDescent="0.3">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x14ac:dyDescent="0.3">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x14ac:dyDescent="0.3">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x14ac:dyDescent="0.3">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x14ac:dyDescent="0.3">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x14ac:dyDescent="0.3">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x14ac:dyDescent="0.3">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x14ac:dyDescent="0.3">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x14ac:dyDescent="0.3">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x14ac:dyDescent="0.3">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x14ac:dyDescent="0.3">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x14ac:dyDescent="0.3">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x14ac:dyDescent="0.3">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x14ac:dyDescent="0.3">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x14ac:dyDescent="0.3">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x14ac:dyDescent="0.3">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x14ac:dyDescent="0.3">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x14ac:dyDescent="0.3">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x14ac:dyDescent="0.3">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x14ac:dyDescent="0.3">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x14ac:dyDescent="0.3">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x14ac:dyDescent="0.3">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x14ac:dyDescent="0.3">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x14ac:dyDescent="0.3">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x14ac:dyDescent="0.3">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x14ac:dyDescent="0.3">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x14ac:dyDescent="0.3">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x14ac:dyDescent="0.3">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x14ac:dyDescent="0.3">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x14ac:dyDescent="0.3">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x14ac:dyDescent="0.3">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x14ac:dyDescent="0.3">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x14ac:dyDescent="0.3">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x14ac:dyDescent="0.3">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x14ac:dyDescent="0.3">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x14ac:dyDescent="0.3">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x14ac:dyDescent="0.3">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x14ac:dyDescent="0.3">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x14ac:dyDescent="0.3">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x14ac:dyDescent="0.3">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x14ac:dyDescent="0.3">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x14ac:dyDescent="0.3">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x14ac:dyDescent="0.3">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x14ac:dyDescent="0.3">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x14ac:dyDescent="0.3">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x14ac:dyDescent="0.3">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x14ac:dyDescent="0.3">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x14ac:dyDescent="0.3">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x14ac:dyDescent="0.3">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x14ac:dyDescent="0.3">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x14ac:dyDescent="0.3">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x14ac:dyDescent="0.3">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x14ac:dyDescent="0.3">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x14ac:dyDescent="0.3">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x14ac:dyDescent="0.3">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x14ac:dyDescent="0.3">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x14ac:dyDescent="0.3">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x14ac:dyDescent="0.3">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x14ac:dyDescent="0.3">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x14ac:dyDescent="0.3">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x14ac:dyDescent="0.3">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x14ac:dyDescent="0.3">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x14ac:dyDescent="0.3">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x14ac:dyDescent="0.3">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x14ac:dyDescent="0.3">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x14ac:dyDescent="0.3">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x14ac:dyDescent="0.3">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x14ac:dyDescent="0.3">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x14ac:dyDescent="0.3">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x14ac:dyDescent="0.3">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x14ac:dyDescent="0.3">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x14ac:dyDescent="0.3">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x14ac:dyDescent="0.3">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x14ac:dyDescent="0.3">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x14ac:dyDescent="0.3">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x14ac:dyDescent="0.3">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x14ac:dyDescent="0.3">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x14ac:dyDescent="0.3">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x14ac:dyDescent="0.3">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x14ac:dyDescent="0.3">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x14ac:dyDescent="0.3">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x14ac:dyDescent="0.3">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x14ac:dyDescent="0.3">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x14ac:dyDescent="0.3">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x14ac:dyDescent="0.3">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x14ac:dyDescent="0.3">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x14ac:dyDescent="0.3">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x14ac:dyDescent="0.3">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x14ac:dyDescent="0.3">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x14ac:dyDescent="0.3">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x14ac:dyDescent="0.3">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x14ac:dyDescent="0.3">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x14ac:dyDescent="0.3">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x14ac:dyDescent="0.3">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x14ac:dyDescent="0.3">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x14ac:dyDescent="0.3">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x14ac:dyDescent="0.3">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x14ac:dyDescent="0.3">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x14ac:dyDescent="0.3">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x14ac:dyDescent="0.3">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x14ac:dyDescent="0.3">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x14ac:dyDescent="0.3">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x14ac:dyDescent="0.3">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x14ac:dyDescent="0.3">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x14ac:dyDescent="0.3">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x14ac:dyDescent="0.3">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x14ac:dyDescent="0.3">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x14ac:dyDescent="0.3">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x14ac:dyDescent="0.3">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x14ac:dyDescent="0.3">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x14ac:dyDescent="0.3">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x14ac:dyDescent="0.3">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x14ac:dyDescent="0.3">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x14ac:dyDescent="0.3">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x14ac:dyDescent="0.3">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x14ac:dyDescent="0.3">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x14ac:dyDescent="0.3">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x14ac:dyDescent="0.3">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x14ac:dyDescent="0.3">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x14ac:dyDescent="0.3">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x14ac:dyDescent="0.3">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x14ac:dyDescent="0.3">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x14ac:dyDescent="0.3">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x14ac:dyDescent="0.3">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x14ac:dyDescent="0.3">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x14ac:dyDescent="0.3">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x14ac:dyDescent="0.3">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x14ac:dyDescent="0.3">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x14ac:dyDescent="0.3">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x14ac:dyDescent="0.3">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x14ac:dyDescent="0.3">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x14ac:dyDescent="0.3">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x14ac:dyDescent="0.3">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x14ac:dyDescent="0.3">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x14ac:dyDescent="0.3">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x14ac:dyDescent="0.3">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x14ac:dyDescent="0.3">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x14ac:dyDescent="0.3">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x14ac:dyDescent="0.3">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x14ac:dyDescent="0.3">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x14ac:dyDescent="0.3">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x14ac:dyDescent="0.3">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x14ac:dyDescent="0.3">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x14ac:dyDescent="0.3">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x14ac:dyDescent="0.3">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x14ac:dyDescent="0.3">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x14ac:dyDescent="0.3">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x14ac:dyDescent="0.3">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x14ac:dyDescent="0.3">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x14ac:dyDescent="0.3">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x14ac:dyDescent="0.3">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x14ac:dyDescent="0.3">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x14ac:dyDescent="0.3">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x14ac:dyDescent="0.3">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x14ac:dyDescent="0.3">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x14ac:dyDescent="0.3">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x14ac:dyDescent="0.3">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x14ac:dyDescent="0.3">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x14ac:dyDescent="0.3">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x14ac:dyDescent="0.3">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x14ac:dyDescent="0.3">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x14ac:dyDescent="0.3">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x14ac:dyDescent="0.3">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x14ac:dyDescent="0.3">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x14ac:dyDescent="0.3">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x14ac:dyDescent="0.3">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x14ac:dyDescent="0.3">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x14ac:dyDescent="0.3">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x14ac:dyDescent="0.3">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x14ac:dyDescent="0.3">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x14ac:dyDescent="0.3">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x14ac:dyDescent="0.3">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x14ac:dyDescent="0.3">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x14ac:dyDescent="0.3">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x14ac:dyDescent="0.3">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x14ac:dyDescent="0.3">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x14ac:dyDescent="0.3">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x14ac:dyDescent="0.3">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x14ac:dyDescent="0.3">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x14ac:dyDescent="0.3">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x14ac:dyDescent="0.3">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x14ac:dyDescent="0.3">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x14ac:dyDescent="0.3">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x14ac:dyDescent="0.3">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x14ac:dyDescent="0.3">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x14ac:dyDescent="0.3">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x14ac:dyDescent="0.3">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x14ac:dyDescent="0.3">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x14ac:dyDescent="0.3">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x14ac:dyDescent="0.3">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x14ac:dyDescent="0.3">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x14ac:dyDescent="0.3">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x14ac:dyDescent="0.3">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x14ac:dyDescent="0.3">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x14ac:dyDescent="0.3">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x14ac:dyDescent="0.3">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x14ac:dyDescent="0.3">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x14ac:dyDescent="0.3">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x14ac:dyDescent="0.3">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x14ac:dyDescent="0.3">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x14ac:dyDescent="0.3">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x14ac:dyDescent="0.3">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x14ac:dyDescent="0.3">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x14ac:dyDescent="0.3">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x14ac:dyDescent="0.3">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x14ac:dyDescent="0.3">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x14ac:dyDescent="0.3">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x14ac:dyDescent="0.3">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x14ac:dyDescent="0.3">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x14ac:dyDescent="0.3">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x14ac:dyDescent="0.3">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x14ac:dyDescent="0.3">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x14ac:dyDescent="0.3">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x14ac:dyDescent="0.3">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x14ac:dyDescent="0.3">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x14ac:dyDescent="0.3">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x14ac:dyDescent="0.3">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x14ac:dyDescent="0.3">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x14ac:dyDescent="0.3">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x14ac:dyDescent="0.3">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x14ac:dyDescent="0.3">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x14ac:dyDescent="0.3">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x14ac:dyDescent="0.3">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x14ac:dyDescent="0.3">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x14ac:dyDescent="0.3">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x14ac:dyDescent="0.3">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x14ac:dyDescent="0.3">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x14ac:dyDescent="0.3">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x14ac:dyDescent="0.3">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x14ac:dyDescent="0.3">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x14ac:dyDescent="0.3">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x14ac:dyDescent="0.3">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x14ac:dyDescent="0.3">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x14ac:dyDescent="0.3">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x14ac:dyDescent="0.3">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x14ac:dyDescent="0.3">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x14ac:dyDescent="0.3">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x14ac:dyDescent="0.3">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x14ac:dyDescent="0.3">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x14ac:dyDescent="0.3">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x14ac:dyDescent="0.3">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x14ac:dyDescent="0.3">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x14ac:dyDescent="0.3">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x14ac:dyDescent="0.3">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x14ac:dyDescent="0.3">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x14ac:dyDescent="0.3">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x14ac:dyDescent="0.3">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x14ac:dyDescent="0.3">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x14ac:dyDescent="0.3">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x14ac:dyDescent="0.3">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x14ac:dyDescent="0.3">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x14ac:dyDescent="0.3">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x14ac:dyDescent="0.3">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x14ac:dyDescent="0.3">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x14ac:dyDescent="0.3">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x14ac:dyDescent="0.3">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x14ac:dyDescent="0.3">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x14ac:dyDescent="0.3">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x14ac:dyDescent="0.3">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x14ac:dyDescent="0.3">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x14ac:dyDescent="0.3">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x14ac:dyDescent="0.3">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x14ac:dyDescent="0.3">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x14ac:dyDescent="0.3">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x14ac:dyDescent="0.3">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x14ac:dyDescent="0.3">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x14ac:dyDescent="0.3">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x14ac:dyDescent="0.3">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x14ac:dyDescent="0.3">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x14ac:dyDescent="0.3">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x14ac:dyDescent="0.3">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x14ac:dyDescent="0.3">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x14ac:dyDescent="0.3">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x14ac:dyDescent="0.3">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x14ac:dyDescent="0.3">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x14ac:dyDescent="0.3">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x14ac:dyDescent="0.3">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x14ac:dyDescent="0.3">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x14ac:dyDescent="0.3">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x14ac:dyDescent="0.3">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x14ac:dyDescent="0.3">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x14ac:dyDescent="0.3">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x14ac:dyDescent="0.3">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x14ac:dyDescent="0.3">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x14ac:dyDescent="0.3">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x14ac:dyDescent="0.3">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x14ac:dyDescent="0.3">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x14ac:dyDescent="0.3">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x14ac:dyDescent="0.3">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x14ac:dyDescent="0.3">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x14ac:dyDescent="0.3">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x14ac:dyDescent="0.3">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x14ac:dyDescent="0.3">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x14ac:dyDescent="0.3">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x14ac:dyDescent="0.3">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x14ac:dyDescent="0.3">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x14ac:dyDescent="0.3">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x14ac:dyDescent="0.3">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x14ac:dyDescent="0.3">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x14ac:dyDescent="0.3">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x14ac:dyDescent="0.3">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x14ac:dyDescent="0.3">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x14ac:dyDescent="0.3">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x14ac:dyDescent="0.3">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x14ac:dyDescent="0.3">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x14ac:dyDescent="0.3">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x14ac:dyDescent="0.3">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x14ac:dyDescent="0.3">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x14ac:dyDescent="0.3">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x14ac:dyDescent="0.3">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x14ac:dyDescent="0.3">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x14ac:dyDescent="0.3">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x14ac:dyDescent="0.3">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x14ac:dyDescent="0.3">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x14ac:dyDescent="0.3">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x14ac:dyDescent="0.3">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x14ac:dyDescent="0.3">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x14ac:dyDescent="0.3">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x14ac:dyDescent="0.3">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x14ac:dyDescent="0.3">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x14ac:dyDescent="0.3">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x14ac:dyDescent="0.3">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x14ac:dyDescent="0.3">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x14ac:dyDescent="0.3">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x14ac:dyDescent="0.3">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x14ac:dyDescent="0.3">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x14ac:dyDescent="0.3">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x14ac:dyDescent="0.3">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x14ac:dyDescent="0.3">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x14ac:dyDescent="0.3">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x14ac:dyDescent="0.3">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x14ac:dyDescent="0.3">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x14ac:dyDescent="0.3">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x14ac:dyDescent="0.3">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x14ac:dyDescent="0.3">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x14ac:dyDescent="0.3">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x14ac:dyDescent="0.3">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x14ac:dyDescent="0.3">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x14ac:dyDescent="0.3">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x14ac:dyDescent="0.3">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x14ac:dyDescent="0.3">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x14ac:dyDescent="0.3">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x14ac:dyDescent="0.3">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x14ac:dyDescent="0.3">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x14ac:dyDescent="0.3">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x14ac:dyDescent="0.3">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x14ac:dyDescent="0.3">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x14ac:dyDescent="0.3">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x14ac:dyDescent="0.3">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x14ac:dyDescent="0.3">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x14ac:dyDescent="0.3">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x14ac:dyDescent="0.3">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x14ac:dyDescent="0.3">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x14ac:dyDescent="0.3">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x14ac:dyDescent="0.3">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x14ac:dyDescent="0.3">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x14ac:dyDescent="0.3">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x14ac:dyDescent="0.3">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x14ac:dyDescent="0.3">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x14ac:dyDescent="0.3">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x14ac:dyDescent="0.3">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x14ac:dyDescent="0.3">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x14ac:dyDescent="0.3">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x14ac:dyDescent="0.3">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x14ac:dyDescent="0.3">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x14ac:dyDescent="0.3">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x14ac:dyDescent="0.3">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x14ac:dyDescent="0.3">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x14ac:dyDescent="0.3">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x14ac:dyDescent="0.3">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x14ac:dyDescent="0.3">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x14ac:dyDescent="0.3">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x14ac:dyDescent="0.3">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x14ac:dyDescent="0.3">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x14ac:dyDescent="0.3">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x14ac:dyDescent="0.3">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x14ac:dyDescent="0.3">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x14ac:dyDescent="0.3">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x14ac:dyDescent="0.3">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x14ac:dyDescent="0.3">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x14ac:dyDescent="0.3">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x14ac:dyDescent="0.3">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x14ac:dyDescent="0.3">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x14ac:dyDescent="0.3">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x14ac:dyDescent="0.3">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x14ac:dyDescent="0.3">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x14ac:dyDescent="0.3">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x14ac:dyDescent="0.3">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x14ac:dyDescent="0.3">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x14ac:dyDescent="0.3">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x14ac:dyDescent="0.3">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x14ac:dyDescent="0.3">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x14ac:dyDescent="0.3">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x14ac:dyDescent="0.3">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x14ac:dyDescent="0.3">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x14ac:dyDescent="0.3">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x14ac:dyDescent="0.3">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x14ac:dyDescent="0.3">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x14ac:dyDescent="0.3">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x14ac:dyDescent="0.3">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x14ac:dyDescent="0.3">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x14ac:dyDescent="0.3">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x14ac:dyDescent="0.3">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x14ac:dyDescent="0.3">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x14ac:dyDescent="0.3">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x14ac:dyDescent="0.3">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x14ac:dyDescent="0.3">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x14ac:dyDescent="0.3">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x14ac:dyDescent="0.3">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x14ac:dyDescent="0.3">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x14ac:dyDescent="0.3">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x14ac:dyDescent="0.3">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x14ac:dyDescent="0.3">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x14ac:dyDescent="0.3">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x14ac:dyDescent="0.3">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x14ac:dyDescent="0.3">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x14ac:dyDescent="0.3">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x14ac:dyDescent="0.3">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x14ac:dyDescent="0.3">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x14ac:dyDescent="0.3">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x14ac:dyDescent="0.3">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x14ac:dyDescent="0.3">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x14ac:dyDescent="0.3">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x14ac:dyDescent="0.3">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x14ac:dyDescent="0.3">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x14ac:dyDescent="0.3">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x14ac:dyDescent="0.3">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x14ac:dyDescent="0.3">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x14ac:dyDescent="0.3">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x14ac:dyDescent="0.3">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x14ac:dyDescent="0.3">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x14ac:dyDescent="0.3">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x14ac:dyDescent="0.3">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x14ac:dyDescent="0.3">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x14ac:dyDescent="0.3">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x14ac:dyDescent="0.3">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x14ac:dyDescent="0.3">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x14ac:dyDescent="0.3">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x14ac:dyDescent="0.3">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x14ac:dyDescent="0.3">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x14ac:dyDescent="0.3">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x14ac:dyDescent="0.3">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x14ac:dyDescent="0.3">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x14ac:dyDescent="0.3">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x14ac:dyDescent="0.3">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x14ac:dyDescent="0.3">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x14ac:dyDescent="0.3">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x14ac:dyDescent="0.3">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x14ac:dyDescent="0.3">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x14ac:dyDescent="0.3">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x14ac:dyDescent="0.3">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x14ac:dyDescent="0.3">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x14ac:dyDescent="0.3">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x14ac:dyDescent="0.3">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x14ac:dyDescent="0.3">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x14ac:dyDescent="0.3">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x14ac:dyDescent="0.3">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x14ac:dyDescent="0.3">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x14ac:dyDescent="0.3">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x14ac:dyDescent="0.3">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x14ac:dyDescent="0.3">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x14ac:dyDescent="0.3">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x14ac:dyDescent="0.3">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x14ac:dyDescent="0.3">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x14ac:dyDescent="0.3">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x14ac:dyDescent="0.3">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x14ac:dyDescent="0.3">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x14ac:dyDescent="0.3">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x14ac:dyDescent="0.3">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x14ac:dyDescent="0.3">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x14ac:dyDescent="0.3">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x14ac:dyDescent="0.3">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x14ac:dyDescent="0.3">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x14ac:dyDescent="0.3">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x14ac:dyDescent="0.3">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x14ac:dyDescent="0.3">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x14ac:dyDescent="0.3">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x14ac:dyDescent="0.3">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x14ac:dyDescent="0.3">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x14ac:dyDescent="0.3">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x14ac:dyDescent="0.3">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x14ac:dyDescent="0.3">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x14ac:dyDescent="0.3">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x14ac:dyDescent="0.3">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x14ac:dyDescent="0.3">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x14ac:dyDescent="0.3">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x14ac:dyDescent="0.3">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x14ac:dyDescent="0.3">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x14ac:dyDescent="0.3">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x14ac:dyDescent="0.3">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x14ac:dyDescent="0.3">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x14ac:dyDescent="0.3">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x14ac:dyDescent="0.3">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x14ac:dyDescent="0.3">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x14ac:dyDescent="0.3">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x14ac:dyDescent="0.3">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x14ac:dyDescent="0.3">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x14ac:dyDescent="0.3">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x14ac:dyDescent="0.3">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x14ac:dyDescent="0.3">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x14ac:dyDescent="0.3">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x14ac:dyDescent="0.3">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x14ac:dyDescent="0.3">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x14ac:dyDescent="0.3">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x14ac:dyDescent="0.3">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x14ac:dyDescent="0.3">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x14ac:dyDescent="0.3">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x14ac:dyDescent="0.3">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x14ac:dyDescent="0.3">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x14ac:dyDescent="0.3">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x14ac:dyDescent="0.3">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x14ac:dyDescent="0.3">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x14ac:dyDescent="0.3">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x14ac:dyDescent="0.3">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x14ac:dyDescent="0.3">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x14ac:dyDescent="0.3">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x14ac:dyDescent="0.3">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x14ac:dyDescent="0.3">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x14ac:dyDescent="0.3">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x14ac:dyDescent="0.3">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x14ac:dyDescent="0.3">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x14ac:dyDescent="0.3">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x14ac:dyDescent="0.3">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x14ac:dyDescent="0.3">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x14ac:dyDescent="0.3">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x14ac:dyDescent="0.3">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x14ac:dyDescent="0.3">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x14ac:dyDescent="0.3">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x14ac:dyDescent="0.3">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x14ac:dyDescent="0.3">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x14ac:dyDescent="0.3">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x14ac:dyDescent="0.3">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x14ac:dyDescent="0.3">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x14ac:dyDescent="0.3">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x14ac:dyDescent="0.3">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x14ac:dyDescent="0.3">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x14ac:dyDescent="0.3">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x14ac:dyDescent="0.3">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x14ac:dyDescent="0.3">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x14ac:dyDescent="0.3">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x14ac:dyDescent="0.3">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x14ac:dyDescent="0.3">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x14ac:dyDescent="0.3">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x14ac:dyDescent="0.3">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x14ac:dyDescent="0.3">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x14ac:dyDescent="0.3">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x14ac:dyDescent="0.3">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x14ac:dyDescent="0.3">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x14ac:dyDescent="0.3">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x14ac:dyDescent="0.3">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x14ac:dyDescent="0.3">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x14ac:dyDescent="0.3">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x14ac:dyDescent="0.3">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x14ac:dyDescent="0.3">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x14ac:dyDescent="0.3">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x14ac:dyDescent="0.3">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x14ac:dyDescent="0.3">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x14ac:dyDescent="0.3">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x14ac:dyDescent="0.3">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x14ac:dyDescent="0.3">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x14ac:dyDescent="0.3">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x14ac:dyDescent="0.3">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x14ac:dyDescent="0.3">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x14ac:dyDescent="0.3">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x14ac:dyDescent="0.3">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x14ac:dyDescent="0.3">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x14ac:dyDescent="0.3">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x14ac:dyDescent="0.3">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x14ac:dyDescent="0.3">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x14ac:dyDescent="0.3">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x14ac:dyDescent="0.3">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x14ac:dyDescent="0.3">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x14ac:dyDescent="0.3">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x14ac:dyDescent="0.3">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x14ac:dyDescent="0.3">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x14ac:dyDescent="0.3">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x14ac:dyDescent="0.3">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x14ac:dyDescent="0.3">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x14ac:dyDescent="0.3">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x14ac:dyDescent="0.3">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x14ac:dyDescent="0.3">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x14ac:dyDescent="0.3">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x14ac:dyDescent="0.3">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x14ac:dyDescent="0.3">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x14ac:dyDescent="0.3">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x14ac:dyDescent="0.3">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x14ac:dyDescent="0.3">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x14ac:dyDescent="0.3">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x14ac:dyDescent="0.3">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x14ac:dyDescent="0.3">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x14ac:dyDescent="0.3">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x14ac:dyDescent="0.3">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x14ac:dyDescent="0.3">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x14ac:dyDescent="0.3">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x14ac:dyDescent="0.3">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x14ac:dyDescent="0.3">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x14ac:dyDescent="0.3">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x14ac:dyDescent="0.3">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x14ac:dyDescent="0.3">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x14ac:dyDescent="0.3">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x14ac:dyDescent="0.3">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x14ac:dyDescent="0.3">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x14ac:dyDescent="0.3">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x14ac:dyDescent="0.3">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x14ac:dyDescent="0.3">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x14ac:dyDescent="0.3">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x14ac:dyDescent="0.3">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x14ac:dyDescent="0.3">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x14ac:dyDescent="0.3">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x14ac:dyDescent="0.3">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x14ac:dyDescent="0.3">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x14ac:dyDescent="0.3">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x14ac:dyDescent="0.3">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x14ac:dyDescent="0.3">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x14ac:dyDescent="0.3">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x14ac:dyDescent="0.3">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x14ac:dyDescent="0.3">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x14ac:dyDescent="0.3">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x14ac:dyDescent="0.3">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x14ac:dyDescent="0.3">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x14ac:dyDescent="0.3">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x14ac:dyDescent="0.3">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x14ac:dyDescent="0.3">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x14ac:dyDescent="0.3">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x14ac:dyDescent="0.3">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x14ac:dyDescent="0.3">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x14ac:dyDescent="0.3">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x14ac:dyDescent="0.3">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x14ac:dyDescent="0.3">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x14ac:dyDescent="0.3">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x14ac:dyDescent="0.3">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x14ac:dyDescent="0.3">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x14ac:dyDescent="0.3">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x14ac:dyDescent="0.3">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x14ac:dyDescent="0.3">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x14ac:dyDescent="0.3">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x14ac:dyDescent="0.3">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x14ac:dyDescent="0.3">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x14ac:dyDescent="0.3">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x14ac:dyDescent="0.3">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x14ac:dyDescent="0.3">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x14ac:dyDescent="0.3">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x14ac:dyDescent="0.3">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x14ac:dyDescent="0.3">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x14ac:dyDescent="0.3">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x14ac:dyDescent="0.3">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x14ac:dyDescent="0.3">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x14ac:dyDescent="0.3">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x14ac:dyDescent="0.3">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x14ac:dyDescent="0.3">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x14ac:dyDescent="0.3">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x14ac:dyDescent="0.3">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x14ac:dyDescent="0.3">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x14ac:dyDescent="0.3">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x14ac:dyDescent="0.3">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x14ac:dyDescent="0.3">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x14ac:dyDescent="0.3">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x14ac:dyDescent="0.3">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x14ac:dyDescent="0.3">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x14ac:dyDescent="0.3">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x14ac:dyDescent="0.3">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x14ac:dyDescent="0.3">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x14ac:dyDescent="0.3">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x14ac:dyDescent="0.3">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x14ac:dyDescent="0.3">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x14ac:dyDescent="0.3">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x14ac:dyDescent="0.3">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x14ac:dyDescent="0.3">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x14ac:dyDescent="0.3">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x14ac:dyDescent="0.3">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x14ac:dyDescent="0.3">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x14ac:dyDescent="0.3">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x14ac:dyDescent="0.3">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x14ac:dyDescent="0.3">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x14ac:dyDescent="0.3">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x14ac:dyDescent="0.3">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x14ac:dyDescent="0.3">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x14ac:dyDescent="0.3">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x14ac:dyDescent="0.3">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x14ac:dyDescent="0.3">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x14ac:dyDescent="0.3">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x14ac:dyDescent="0.3">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x14ac:dyDescent="0.3">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x14ac:dyDescent="0.3">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x14ac:dyDescent="0.3">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x14ac:dyDescent="0.3">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x14ac:dyDescent="0.3">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x14ac:dyDescent="0.3">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x14ac:dyDescent="0.3">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x14ac:dyDescent="0.3">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x14ac:dyDescent="0.3">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x14ac:dyDescent="0.3">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x14ac:dyDescent="0.3">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x14ac:dyDescent="0.3">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x14ac:dyDescent="0.3">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x14ac:dyDescent="0.3">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x14ac:dyDescent="0.3">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x14ac:dyDescent="0.3">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x14ac:dyDescent="0.3">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x14ac:dyDescent="0.3">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x14ac:dyDescent="0.3">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x14ac:dyDescent="0.3">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x14ac:dyDescent="0.3">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x14ac:dyDescent="0.3">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x14ac:dyDescent="0.3">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x14ac:dyDescent="0.3">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x14ac:dyDescent="0.3">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x14ac:dyDescent="0.3">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x14ac:dyDescent="0.3">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x14ac:dyDescent="0.3">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x14ac:dyDescent="0.3">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x14ac:dyDescent="0.3">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x14ac:dyDescent="0.3">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x14ac:dyDescent="0.3">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x14ac:dyDescent="0.3">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x14ac:dyDescent="0.3">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x14ac:dyDescent="0.3">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x14ac:dyDescent="0.3">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x14ac:dyDescent="0.3">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x14ac:dyDescent="0.3">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x14ac:dyDescent="0.3">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x14ac:dyDescent="0.3">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x14ac:dyDescent="0.3">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x14ac:dyDescent="0.3">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x14ac:dyDescent="0.3">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x14ac:dyDescent="0.3">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x14ac:dyDescent="0.3">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x14ac:dyDescent="0.3">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x14ac:dyDescent="0.3">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x14ac:dyDescent="0.3">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x14ac:dyDescent="0.3">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x14ac:dyDescent="0.3">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x14ac:dyDescent="0.3">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x14ac:dyDescent="0.3">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x14ac:dyDescent="0.3">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x14ac:dyDescent="0.3">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x14ac:dyDescent="0.3">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x14ac:dyDescent="0.3">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x14ac:dyDescent="0.3">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x14ac:dyDescent="0.3">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x14ac:dyDescent="0.3">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x14ac:dyDescent="0.3">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x14ac:dyDescent="0.3">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x14ac:dyDescent="0.3">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x14ac:dyDescent="0.3">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x14ac:dyDescent="0.3">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x14ac:dyDescent="0.3">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x14ac:dyDescent="0.3">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x14ac:dyDescent="0.3">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x14ac:dyDescent="0.3">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x14ac:dyDescent="0.3">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x14ac:dyDescent="0.3">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x14ac:dyDescent="0.3">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x14ac:dyDescent="0.3">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x14ac:dyDescent="0.3">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x14ac:dyDescent="0.3">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x14ac:dyDescent="0.3">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x14ac:dyDescent="0.3">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x14ac:dyDescent="0.3">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x14ac:dyDescent="0.3">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x14ac:dyDescent="0.3">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x14ac:dyDescent="0.3">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x14ac:dyDescent="0.3">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x14ac:dyDescent="0.3">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x14ac:dyDescent="0.3">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x14ac:dyDescent="0.3">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x14ac:dyDescent="0.3">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x14ac:dyDescent="0.3">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x14ac:dyDescent="0.3">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x14ac:dyDescent="0.3">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x14ac:dyDescent="0.3">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x14ac:dyDescent="0.3">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x14ac:dyDescent="0.3">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x14ac:dyDescent="0.3">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x14ac:dyDescent="0.3">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x14ac:dyDescent="0.3">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x14ac:dyDescent="0.3">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x14ac:dyDescent="0.3">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x14ac:dyDescent="0.3">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x14ac:dyDescent="0.3">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x14ac:dyDescent="0.3">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x14ac:dyDescent="0.3">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x14ac:dyDescent="0.3">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x14ac:dyDescent="0.3">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x14ac:dyDescent="0.3">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x14ac:dyDescent="0.3">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x14ac:dyDescent="0.3">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x14ac:dyDescent="0.3">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x14ac:dyDescent="0.3">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x14ac:dyDescent="0.3">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x14ac:dyDescent="0.3">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x14ac:dyDescent="0.3">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x14ac:dyDescent="0.3">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x14ac:dyDescent="0.3">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x14ac:dyDescent="0.3">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x14ac:dyDescent="0.3">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x14ac:dyDescent="0.3">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x14ac:dyDescent="0.3">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x14ac:dyDescent="0.3">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x14ac:dyDescent="0.3">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x14ac:dyDescent="0.3">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x14ac:dyDescent="0.3">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x14ac:dyDescent="0.3">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x14ac:dyDescent="0.3">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x14ac:dyDescent="0.3">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x14ac:dyDescent="0.3">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x14ac:dyDescent="0.3">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x14ac:dyDescent="0.3">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x14ac:dyDescent="0.3">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x14ac:dyDescent="0.3">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x14ac:dyDescent="0.3">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x14ac:dyDescent="0.3">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x14ac:dyDescent="0.3">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x14ac:dyDescent="0.3">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x14ac:dyDescent="0.3">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x14ac:dyDescent="0.3">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x14ac:dyDescent="0.3">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x14ac:dyDescent="0.3">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x14ac:dyDescent="0.3">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x14ac:dyDescent="0.3">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x14ac:dyDescent="0.3">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x14ac:dyDescent="0.3">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x14ac:dyDescent="0.3">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x14ac:dyDescent="0.3">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x14ac:dyDescent="0.3">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x14ac:dyDescent="0.3">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x14ac:dyDescent="0.3">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x14ac:dyDescent="0.3">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x14ac:dyDescent="0.3">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x14ac:dyDescent="0.3">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x14ac:dyDescent="0.3">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x14ac:dyDescent="0.3">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x14ac:dyDescent="0.3">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x14ac:dyDescent="0.3">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x14ac:dyDescent="0.3">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x14ac:dyDescent="0.3">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x14ac:dyDescent="0.3">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x14ac:dyDescent="0.3">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x14ac:dyDescent="0.3">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x14ac:dyDescent="0.3">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x14ac:dyDescent="0.3">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x14ac:dyDescent="0.3">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x14ac:dyDescent="0.3">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x14ac:dyDescent="0.3">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x14ac:dyDescent="0.3">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x14ac:dyDescent="0.3">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x14ac:dyDescent="0.3">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x14ac:dyDescent="0.3">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x14ac:dyDescent="0.3">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x14ac:dyDescent="0.3">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x14ac:dyDescent="0.3">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x14ac:dyDescent="0.3">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x14ac:dyDescent="0.3">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x14ac:dyDescent="0.3">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x14ac:dyDescent="0.3">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x14ac:dyDescent="0.3">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x14ac:dyDescent="0.3">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x14ac:dyDescent="0.3">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x14ac:dyDescent="0.3">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x14ac:dyDescent="0.3">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x14ac:dyDescent="0.3">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x14ac:dyDescent="0.3">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x14ac:dyDescent="0.3">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x14ac:dyDescent="0.3">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x14ac:dyDescent="0.3">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x14ac:dyDescent="0.3">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x14ac:dyDescent="0.3">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x14ac:dyDescent="0.3">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x14ac:dyDescent="0.3">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x14ac:dyDescent="0.3">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x14ac:dyDescent="0.3">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x14ac:dyDescent="0.3">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x14ac:dyDescent="0.3">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x14ac:dyDescent="0.3">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x14ac:dyDescent="0.3">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x14ac:dyDescent="0.3">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x14ac:dyDescent="0.3">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x14ac:dyDescent="0.3">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x14ac:dyDescent="0.3">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x14ac:dyDescent="0.3">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x14ac:dyDescent="0.3">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x14ac:dyDescent="0.3">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x14ac:dyDescent="0.3">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x14ac:dyDescent="0.3">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x14ac:dyDescent="0.3">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x14ac:dyDescent="0.3">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x14ac:dyDescent="0.3">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x14ac:dyDescent="0.3">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x14ac:dyDescent="0.3">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x14ac:dyDescent="0.3">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x14ac:dyDescent="0.3">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x14ac:dyDescent="0.3">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x14ac:dyDescent="0.3">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x14ac:dyDescent="0.3">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x14ac:dyDescent="0.3">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x14ac:dyDescent="0.3">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x14ac:dyDescent="0.3">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x14ac:dyDescent="0.3">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x14ac:dyDescent="0.3">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x14ac:dyDescent="0.3">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x14ac:dyDescent="0.3">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x14ac:dyDescent="0.3">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x14ac:dyDescent="0.3">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x14ac:dyDescent="0.3">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x14ac:dyDescent="0.3">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x14ac:dyDescent="0.3">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x14ac:dyDescent="0.3">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x14ac:dyDescent="0.3">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x14ac:dyDescent="0.3">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x14ac:dyDescent="0.3">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x14ac:dyDescent="0.3">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x14ac:dyDescent="0.3">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x14ac:dyDescent="0.3">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x14ac:dyDescent="0.3">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x14ac:dyDescent="0.3">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x14ac:dyDescent="0.3">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x14ac:dyDescent="0.3">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x14ac:dyDescent="0.3">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x14ac:dyDescent="0.3">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x14ac:dyDescent="0.3">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x14ac:dyDescent="0.3">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x14ac:dyDescent="0.3">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x14ac:dyDescent="0.3">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x14ac:dyDescent="0.3">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x14ac:dyDescent="0.3">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x14ac:dyDescent="0.3">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x14ac:dyDescent="0.3">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x14ac:dyDescent="0.3">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x14ac:dyDescent="0.3">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x14ac:dyDescent="0.3">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x14ac:dyDescent="0.3">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x14ac:dyDescent="0.3">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x14ac:dyDescent="0.3">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x14ac:dyDescent="0.3">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x14ac:dyDescent="0.3">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x14ac:dyDescent="0.3">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x14ac:dyDescent="0.3">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x14ac:dyDescent="0.3">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x14ac:dyDescent="0.3">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x14ac:dyDescent="0.3">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x14ac:dyDescent="0.3">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x14ac:dyDescent="0.3">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x14ac:dyDescent="0.3">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x14ac:dyDescent="0.3">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x14ac:dyDescent="0.3">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x14ac:dyDescent="0.3">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x14ac:dyDescent="0.3">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x14ac:dyDescent="0.3">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x14ac:dyDescent="0.3">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x14ac:dyDescent="0.3">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x14ac:dyDescent="0.3">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x14ac:dyDescent="0.3">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x14ac:dyDescent="0.3">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x14ac:dyDescent="0.3">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x14ac:dyDescent="0.3">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x14ac:dyDescent="0.3">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x14ac:dyDescent="0.3">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x14ac:dyDescent="0.3">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x14ac:dyDescent="0.3">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x14ac:dyDescent="0.3">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x14ac:dyDescent="0.3">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x14ac:dyDescent="0.3">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x14ac:dyDescent="0.3">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x14ac:dyDescent="0.3">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x14ac:dyDescent="0.3">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x14ac:dyDescent="0.3">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x14ac:dyDescent="0.3">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x14ac:dyDescent="0.3">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x14ac:dyDescent="0.3">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x14ac:dyDescent="0.3">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x14ac:dyDescent="0.3">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x14ac:dyDescent="0.3">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x14ac:dyDescent="0.3">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x14ac:dyDescent="0.3">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x14ac:dyDescent="0.3">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x14ac:dyDescent="0.3">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x14ac:dyDescent="0.3">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x14ac:dyDescent="0.3">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x14ac:dyDescent="0.3">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x14ac:dyDescent="0.3">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x14ac:dyDescent="0.3">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x14ac:dyDescent="0.3">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x14ac:dyDescent="0.3">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x14ac:dyDescent="0.3">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x14ac:dyDescent="0.3">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x14ac:dyDescent="0.3">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x14ac:dyDescent="0.3">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x14ac:dyDescent="0.3">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x14ac:dyDescent="0.3">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x14ac:dyDescent="0.3">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x14ac:dyDescent="0.3">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x14ac:dyDescent="0.3">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x14ac:dyDescent="0.3">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x14ac:dyDescent="0.3">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x14ac:dyDescent="0.3">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x14ac:dyDescent="0.3">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x14ac:dyDescent="0.3">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x14ac:dyDescent="0.3">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x14ac:dyDescent="0.3">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x14ac:dyDescent="0.3">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x14ac:dyDescent="0.3">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x14ac:dyDescent="0.3">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x14ac:dyDescent="0.3">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x14ac:dyDescent="0.3">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x14ac:dyDescent="0.3">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x14ac:dyDescent="0.3">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x14ac:dyDescent="0.3">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x14ac:dyDescent="0.3">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x14ac:dyDescent="0.3">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x14ac:dyDescent="0.3">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x14ac:dyDescent="0.3">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x14ac:dyDescent="0.3">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x14ac:dyDescent="0.3">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x14ac:dyDescent="0.3">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x14ac:dyDescent="0.3">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x14ac:dyDescent="0.3">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x14ac:dyDescent="0.3">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x14ac:dyDescent="0.3">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x14ac:dyDescent="0.3">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x14ac:dyDescent="0.3">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x14ac:dyDescent="0.3">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x14ac:dyDescent="0.3">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x14ac:dyDescent="0.3">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x14ac:dyDescent="0.3">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x14ac:dyDescent="0.3">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x14ac:dyDescent="0.3">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x14ac:dyDescent="0.3">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x14ac:dyDescent="0.3">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x14ac:dyDescent="0.3">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x14ac:dyDescent="0.3">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x14ac:dyDescent="0.3">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x14ac:dyDescent="0.3">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x14ac:dyDescent="0.3">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x14ac:dyDescent="0.3">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x14ac:dyDescent="0.3">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x14ac:dyDescent="0.3">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x14ac:dyDescent="0.3">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x14ac:dyDescent="0.3">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x14ac:dyDescent="0.3">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x14ac:dyDescent="0.3">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x14ac:dyDescent="0.3">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x14ac:dyDescent="0.3">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x14ac:dyDescent="0.3">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x14ac:dyDescent="0.3">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x14ac:dyDescent="0.3">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x14ac:dyDescent="0.3">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x14ac:dyDescent="0.3">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x14ac:dyDescent="0.3">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x14ac:dyDescent="0.3">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x14ac:dyDescent="0.3">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x14ac:dyDescent="0.3">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x14ac:dyDescent="0.3">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x14ac:dyDescent="0.3">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x14ac:dyDescent="0.3">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x14ac:dyDescent="0.3">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x14ac:dyDescent="0.3">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x14ac:dyDescent="0.3">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x14ac:dyDescent="0.3">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x14ac:dyDescent="0.3">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x14ac:dyDescent="0.3">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x14ac:dyDescent="0.3">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x14ac:dyDescent="0.3">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x14ac:dyDescent="0.3">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x14ac:dyDescent="0.3">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x14ac:dyDescent="0.3">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x14ac:dyDescent="0.3">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x14ac:dyDescent="0.3">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x14ac:dyDescent="0.3">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x14ac:dyDescent="0.3">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x14ac:dyDescent="0.3">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x14ac:dyDescent="0.3">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x14ac:dyDescent="0.3">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x14ac:dyDescent="0.3">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x14ac:dyDescent="0.3">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x14ac:dyDescent="0.3">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x14ac:dyDescent="0.3">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x14ac:dyDescent="0.3">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x14ac:dyDescent="0.3">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x14ac:dyDescent="0.3">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x14ac:dyDescent="0.3">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x14ac:dyDescent="0.3">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x14ac:dyDescent="0.3">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x14ac:dyDescent="0.3">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x14ac:dyDescent="0.3">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x14ac:dyDescent="0.3">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x14ac:dyDescent="0.3">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x14ac:dyDescent="0.3">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x14ac:dyDescent="0.3">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x14ac:dyDescent="0.3">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x14ac:dyDescent="0.3">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x14ac:dyDescent="0.3">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x14ac:dyDescent="0.3">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x14ac:dyDescent="0.3">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x14ac:dyDescent="0.3">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x14ac:dyDescent="0.3">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x14ac:dyDescent="0.3">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x14ac:dyDescent="0.3">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x14ac:dyDescent="0.3">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x14ac:dyDescent="0.3">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x14ac:dyDescent="0.3">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x14ac:dyDescent="0.3">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x14ac:dyDescent="0.3">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x14ac:dyDescent="0.3">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x14ac:dyDescent="0.3">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x14ac:dyDescent="0.3">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x14ac:dyDescent="0.3">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x14ac:dyDescent="0.3">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x14ac:dyDescent="0.3">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x14ac:dyDescent="0.3">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x14ac:dyDescent="0.3">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x14ac:dyDescent="0.3">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x14ac:dyDescent="0.3">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x14ac:dyDescent="0.3">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x14ac:dyDescent="0.3">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x14ac:dyDescent="0.3">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x14ac:dyDescent="0.3">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x14ac:dyDescent="0.3">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x14ac:dyDescent="0.3">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x14ac:dyDescent="0.3">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x14ac:dyDescent="0.3">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x14ac:dyDescent="0.3">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x14ac:dyDescent="0.3">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x14ac:dyDescent="0.3">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x14ac:dyDescent="0.3">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x14ac:dyDescent="0.3">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x14ac:dyDescent="0.3">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x14ac:dyDescent="0.3">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x14ac:dyDescent="0.3">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x14ac:dyDescent="0.3">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x14ac:dyDescent="0.3">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x14ac:dyDescent="0.3">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x14ac:dyDescent="0.3">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x14ac:dyDescent="0.3">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x14ac:dyDescent="0.3">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x14ac:dyDescent="0.3">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x14ac:dyDescent="0.3">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x14ac:dyDescent="0.3">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x14ac:dyDescent="0.3">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x14ac:dyDescent="0.3">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x14ac:dyDescent="0.3">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x14ac:dyDescent="0.3">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x14ac:dyDescent="0.3">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x14ac:dyDescent="0.3">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x14ac:dyDescent="0.3">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x14ac:dyDescent="0.3">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x14ac:dyDescent="0.3">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x14ac:dyDescent="0.3">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x14ac:dyDescent="0.3">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x14ac:dyDescent="0.3">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x14ac:dyDescent="0.3">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x14ac:dyDescent="0.3">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x14ac:dyDescent="0.3">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x14ac:dyDescent="0.3">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x14ac:dyDescent="0.3">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x14ac:dyDescent="0.3">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x14ac:dyDescent="0.3">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x14ac:dyDescent="0.3">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x14ac:dyDescent="0.3">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x14ac:dyDescent="0.3">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x14ac:dyDescent="0.3">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x14ac:dyDescent="0.3">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x14ac:dyDescent="0.3">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x14ac:dyDescent="0.3">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x14ac:dyDescent="0.3">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x14ac:dyDescent="0.3">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x14ac:dyDescent="0.3">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x14ac:dyDescent="0.3">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x14ac:dyDescent="0.3">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x14ac:dyDescent="0.3">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x14ac:dyDescent="0.3">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x14ac:dyDescent="0.3">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x14ac:dyDescent="0.3">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x14ac:dyDescent="0.3">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x14ac:dyDescent="0.3">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x14ac:dyDescent="0.3">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x14ac:dyDescent="0.3">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x14ac:dyDescent="0.3">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x14ac:dyDescent="0.3">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x14ac:dyDescent="0.3">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x14ac:dyDescent="0.3">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x14ac:dyDescent="0.3">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x14ac:dyDescent="0.3">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x14ac:dyDescent="0.3">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x14ac:dyDescent="0.3">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x14ac:dyDescent="0.3">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x14ac:dyDescent="0.3">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x14ac:dyDescent="0.3">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x14ac:dyDescent="0.3">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x14ac:dyDescent="0.3">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x14ac:dyDescent="0.3">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x14ac:dyDescent="0.3">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x14ac:dyDescent="0.3">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x14ac:dyDescent="0.3">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x14ac:dyDescent="0.3">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x14ac:dyDescent="0.3">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x14ac:dyDescent="0.3">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x14ac:dyDescent="0.3">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x14ac:dyDescent="0.3">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x14ac:dyDescent="0.3">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x14ac:dyDescent="0.3">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x14ac:dyDescent="0.3">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x14ac:dyDescent="0.3">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x14ac:dyDescent="0.3">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x14ac:dyDescent="0.3">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x14ac:dyDescent="0.3">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x14ac:dyDescent="0.3">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x14ac:dyDescent="0.3">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x14ac:dyDescent="0.3">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x14ac:dyDescent="0.3">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x14ac:dyDescent="0.3">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x14ac:dyDescent="0.3">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x14ac:dyDescent="0.3">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x14ac:dyDescent="0.3">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x14ac:dyDescent="0.3">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x14ac:dyDescent="0.3">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x14ac:dyDescent="0.3">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x14ac:dyDescent="0.3">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x14ac:dyDescent="0.3">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x14ac:dyDescent="0.3">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x14ac:dyDescent="0.3">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x14ac:dyDescent="0.3">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x14ac:dyDescent="0.3">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x14ac:dyDescent="0.3">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x14ac:dyDescent="0.3">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x14ac:dyDescent="0.3">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x14ac:dyDescent="0.3">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x14ac:dyDescent="0.3">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x14ac:dyDescent="0.3">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x14ac:dyDescent="0.3">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x14ac:dyDescent="0.3">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x14ac:dyDescent="0.3">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x14ac:dyDescent="0.3">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x14ac:dyDescent="0.3">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x14ac:dyDescent="0.3">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x14ac:dyDescent="0.3">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x14ac:dyDescent="0.3">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x14ac:dyDescent="0.3">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x14ac:dyDescent="0.3">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x14ac:dyDescent="0.3">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x14ac:dyDescent="0.3">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x14ac:dyDescent="0.3">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x14ac:dyDescent="0.3">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x14ac:dyDescent="0.3">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x14ac:dyDescent="0.3">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x14ac:dyDescent="0.3">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x14ac:dyDescent="0.3">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x14ac:dyDescent="0.3">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x14ac:dyDescent="0.3">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x14ac:dyDescent="0.3">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x14ac:dyDescent="0.3">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x14ac:dyDescent="0.3">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x14ac:dyDescent="0.3">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x14ac:dyDescent="0.3">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x14ac:dyDescent="0.3">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x14ac:dyDescent="0.3">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x14ac:dyDescent="0.3">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x14ac:dyDescent="0.3">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x14ac:dyDescent="0.3">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x14ac:dyDescent="0.3">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x14ac:dyDescent="0.3">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x14ac:dyDescent="0.3">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x14ac:dyDescent="0.3">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x14ac:dyDescent="0.3">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x14ac:dyDescent="0.3">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x14ac:dyDescent="0.3">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x14ac:dyDescent="0.3">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x14ac:dyDescent="0.3">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x14ac:dyDescent="0.3">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x14ac:dyDescent="0.3">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x14ac:dyDescent="0.3">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x14ac:dyDescent="0.3">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x14ac:dyDescent="0.3">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x14ac:dyDescent="0.3">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x14ac:dyDescent="0.3">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x14ac:dyDescent="0.3">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x14ac:dyDescent="0.3">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x14ac:dyDescent="0.3">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x14ac:dyDescent="0.3">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x14ac:dyDescent="0.3">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x14ac:dyDescent="0.3">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x14ac:dyDescent="0.3">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x14ac:dyDescent="0.3">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x14ac:dyDescent="0.3">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x14ac:dyDescent="0.3">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x14ac:dyDescent="0.3">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x14ac:dyDescent="0.3">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x14ac:dyDescent="0.3">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x14ac:dyDescent="0.3">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x14ac:dyDescent="0.3">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x14ac:dyDescent="0.3">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x14ac:dyDescent="0.3">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x14ac:dyDescent="0.3">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x14ac:dyDescent="0.3">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x14ac:dyDescent="0.3">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x14ac:dyDescent="0.3">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x14ac:dyDescent="0.3">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x14ac:dyDescent="0.3">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x14ac:dyDescent="0.3">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x14ac:dyDescent="0.3">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x14ac:dyDescent="0.3">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x14ac:dyDescent="0.3">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x14ac:dyDescent="0.3">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x14ac:dyDescent="0.3">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x14ac:dyDescent="0.3">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x14ac:dyDescent="0.3">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x14ac:dyDescent="0.3">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x14ac:dyDescent="0.3">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x14ac:dyDescent="0.3">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x14ac:dyDescent="0.3">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x14ac:dyDescent="0.3">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x14ac:dyDescent="0.3">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x14ac:dyDescent="0.3">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x14ac:dyDescent="0.3">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x14ac:dyDescent="0.3">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x14ac:dyDescent="0.3">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x14ac:dyDescent="0.3">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x14ac:dyDescent="0.3">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x14ac:dyDescent="0.3">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x14ac:dyDescent="0.3">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x14ac:dyDescent="0.3">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x14ac:dyDescent="0.3">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x14ac:dyDescent="0.3">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x14ac:dyDescent="0.3">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x14ac:dyDescent="0.3">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x14ac:dyDescent="0.3">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x14ac:dyDescent="0.3">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x14ac:dyDescent="0.3">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x14ac:dyDescent="0.3">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x14ac:dyDescent="0.3">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x14ac:dyDescent="0.3">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x14ac:dyDescent="0.3">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x14ac:dyDescent="0.3">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x14ac:dyDescent="0.3">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x14ac:dyDescent="0.3">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x14ac:dyDescent="0.3">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x14ac:dyDescent="0.3">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x14ac:dyDescent="0.3">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x14ac:dyDescent="0.3">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x14ac:dyDescent="0.3">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x14ac:dyDescent="0.3">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x14ac:dyDescent="0.3">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x14ac:dyDescent="0.3">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x14ac:dyDescent="0.3">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x14ac:dyDescent="0.3">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x14ac:dyDescent="0.3">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x14ac:dyDescent="0.3">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x14ac:dyDescent="0.3">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x14ac:dyDescent="0.3">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x14ac:dyDescent="0.3">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x14ac:dyDescent="0.3">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x14ac:dyDescent="0.3">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x14ac:dyDescent="0.3">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x14ac:dyDescent="0.3">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x14ac:dyDescent="0.3">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x14ac:dyDescent="0.3">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x14ac:dyDescent="0.3">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x14ac:dyDescent="0.3">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x14ac:dyDescent="0.3">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x14ac:dyDescent="0.3">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x14ac:dyDescent="0.3">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x14ac:dyDescent="0.3">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x14ac:dyDescent="0.3">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x14ac:dyDescent="0.3">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x14ac:dyDescent="0.3">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x14ac:dyDescent="0.3">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x14ac:dyDescent="0.3">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x14ac:dyDescent="0.3">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x14ac:dyDescent="0.3">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x14ac:dyDescent="0.3">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x14ac:dyDescent="0.3">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x14ac:dyDescent="0.3">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x14ac:dyDescent="0.3">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x14ac:dyDescent="0.3">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x14ac:dyDescent="0.3">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x14ac:dyDescent="0.3">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x14ac:dyDescent="0.3">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x14ac:dyDescent="0.3">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x14ac:dyDescent="0.3">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x14ac:dyDescent="0.3">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x14ac:dyDescent="0.3">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x14ac:dyDescent="0.3">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x14ac:dyDescent="0.3">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x14ac:dyDescent="0.3">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x14ac:dyDescent="0.3">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x14ac:dyDescent="0.3">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x14ac:dyDescent="0.3">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x14ac:dyDescent="0.3">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x14ac:dyDescent="0.3">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x14ac:dyDescent="0.3">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x14ac:dyDescent="0.3">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x14ac:dyDescent="0.3">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x14ac:dyDescent="0.3">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x14ac:dyDescent="0.3">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x14ac:dyDescent="0.3">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x14ac:dyDescent="0.3">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x14ac:dyDescent="0.3">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x14ac:dyDescent="0.3">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x14ac:dyDescent="0.3">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x14ac:dyDescent="0.3">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x14ac:dyDescent="0.3">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x14ac:dyDescent="0.3">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x14ac:dyDescent="0.3">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x14ac:dyDescent="0.3">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x14ac:dyDescent="0.3">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x14ac:dyDescent="0.3">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x14ac:dyDescent="0.3">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x14ac:dyDescent="0.3">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x14ac:dyDescent="0.3">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x14ac:dyDescent="0.3">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x14ac:dyDescent="0.3">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x14ac:dyDescent="0.3">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x14ac:dyDescent="0.3">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x14ac:dyDescent="0.3">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x14ac:dyDescent="0.3">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x14ac:dyDescent="0.3">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x14ac:dyDescent="0.3">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x14ac:dyDescent="0.3">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x14ac:dyDescent="0.3">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x14ac:dyDescent="0.3">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x14ac:dyDescent="0.3">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x14ac:dyDescent="0.3">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x14ac:dyDescent="0.3">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x14ac:dyDescent="0.3">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x14ac:dyDescent="0.3">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x14ac:dyDescent="0.3">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x14ac:dyDescent="0.3">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x14ac:dyDescent="0.3">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x14ac:dyDescent="0.3">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x14ac:dyDescent="0.3">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x14ac:dyDescent="0.3">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x14ac:dyDescent="0.3">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x14ac:dyDescent="0.3">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x14ac:dyDescent="0.3">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x14ac:dyDescent="0.3">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x14ac:dyDescent="0.3">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x14ac:dyDescent="0.3">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x14ac:dyDescent="0.3">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x14ac:dyDescent="0.3">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x14ac:dyDescent="0.3">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x14ac:dyDescent="0.3">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x14ac:dyDescent="0.3">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x14ac:dyDescent="0.3">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x14ac:dyDescent="0.3">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x14ac:dyDescent="0.3">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x14ac:dyDescent="0.3">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x14ac:dyDescent="0.3">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x14ac:dyDescent="0.3">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x14ac:dyDescent="0.3">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x14ac:dyDescent="0.3">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x14ac:dyDescent="0.3">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x14ac:dyDescent="0.3">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x14ac:dyDescent="0.3">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x14ac:dyDescent="0.3">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x14ac:dyDescent="0.3">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x14ac:dyDescent="0.3">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x14ac:dyDescent="0.3">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x14ac:dyDescent="0.3">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x14ac:dyDescent="0.3">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x14ac:dyDescent="0.3">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x14ac:dyDescent="0.3">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x14ac:dyDescent="0.3">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x14ac:dyDescent="0.3">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x14ac:dyDescent="0.3">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x14ac:dyDescent="0.3">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x14ac:dyDescent="0.3">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x14ac:dyDescent="0.3">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x14ac:dyDescent="0.3">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x14ac:dyDescent="0.3">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x14ac:dyDescent="0.3">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x14ac:dyDescent="0.3">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x14ac:dyDescent="0.3">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x14ac:dyDescent="0.3">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x14ac:dyDescent="0.3">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x14ac:dyDescent="0.3">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x14ac:dyDescent="0.3">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x14ac:dyDescent="0.3">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x14ac:dyDescent="0.3">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x14ac:dyDescent="0.3">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x14ac:dyDescent="0.3">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x14ac:dyDescent="0.3">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x14ac:dyDescent="0.3">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x14ac:dyDescent="0.3">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x14ac:dyDescent="0.3">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x14ac:dyDescent="0.3">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x14ac:dyDescent="0.3">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x14ac:dyDescent="0.3">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x14ac:dyDescent="0.3">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x14ac:dyDescent="0.3">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x14ac:dyDescent="0.3">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x14ac:dyDescent="0.3">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x14ac:dyDescent="0.3">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x14ac:dyDescent="0.3">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x14ac:dyDescent="0.3">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x14ac:dyDescent="0.3">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x14ac:dyDescent="0.3">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x14ac:dyDescent="0.3">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x14ac:dyDescent="0.3">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x14ac:dyDescent="0.3">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x14ac:dyDescent="0.3">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x14ac:dyDescent="0.3">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x14ac:dyDescent="0.3">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x14ac:dyDescent="0.3">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x14ac:dyDescent="0.3">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x14ac:dyDescent="0.3">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x14ac:dyDescent="0.3">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x14ac:dyDescent="0.3">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x14ac:dyDescent="0.3">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x14ac:dyDescent="0.3">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x14ac:dyDescent="0.3">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x14ac:dyDescent="0.3">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x14ac:dyDescent="0.3">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x14ac:dyDescent="0.3">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x14ac:dyDescent="0.3">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x14ac:dyDescent="0.3">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x14ac:dyDescent="0.3">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x14ac:dyDescent="0.3">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x14ac:dyDescent="0.3">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x14ac:dyDescent="0.3">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x14ac:dyDescent="0.3">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x14ac:dyDescent="0.3">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x14ac:dyDescent="0.3">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x14ac:dyDescent="0.3">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x14ac:dyDescent="0.3">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x14ac:dyDescent="0.3">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x14ac:dyDescent="0.3">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x14ac:dyDescent="0.3">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x14ac:dyDescent="0.3">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x14ac:dyDescent="0.3">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x14ac:dyDescent="0.3">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x14ac:dyDescent="0.3">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x14ac:dyDescent="0.3">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x14ac:dyDescent="0.3">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x14ac:dyDescent="0.3">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x14ac:dyDescent="0.3">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x14ac:dyDescent="0.3">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x14ac:dyDescent="0.3">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x14ac:dyDescent="0.3">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x14ac:dyDescent="0.3">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x14ac:dyDescent="0.3">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x14ac:dyDescent="0.3">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x14ac:dyDescent="0.3">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x14ac:dyDescent="0.3">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x14ac:dyDescent="0.3">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x14ac:dyDescent="0.3">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x14ac:dyDescent="0.3">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x14ac:dyDescent="0.3">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x14ac:dyDescent="0.3">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x14ac:dyDescent="0.3">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x14ac:dyDescent="0.3">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x14ac:dyDescent="0.3">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x14ac:dyDescent="0.3">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x14ac:dyDescent="0.3">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x14ac:dyDescent="0.3">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x14ac:dyDescent="0.3">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x14ac:dyDescent="0.3">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x14ac:dyDescent="0.3">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x14ac:dyDescent="0.3">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x14ac:dyDescent="0.3">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x14ac:dyDescent="0.3">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x14ac:dyDescent="0.3">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x14ac:dyDescent="0.3">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x14ac:dyDescent="0.3">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x14ac:dyDescent="0.3">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x14ac:dyDescent="0.3">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x14ac:dyDescent="0.3">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x14ac:dyDescent="0.3">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x14ac:dyDescent="0.3">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x14ac:dyDescent="0.3">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x14ac:dyDescent="0.3">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x14ac:dyDescent="0.3">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x14ac:dyDescent="0.3">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x14ac:dyDescent="0.3">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x14ac:dyDescent="0.3">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x14ac:dyDescent="0.3">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x14ac:dyDescent="0.3">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x14ac:dyDescent="0.3">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x14ac:dyDescent="0.3">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x14ac:dyDescent="0.3">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x14ac:dyDescent="0.3">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x14ac:dyDescent="0.3">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x14ac:dyDescent="0.3">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x14ac:dyDescent="0.3">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x14ac:dyDescent="0.3">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x14ac:dyDescent="0.3">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x14ac:dyDescent="0.3">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x14ac:dyDescent="0.3">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x14ac:dyDescent="0.3">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x14ac:dyDescent="0.3">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x14ac:dyDescent="0.3">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x14ac:dyDescent="0.3">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x14ac:dyDescent="0.3">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x14ac:dyDescent="0.3">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x14ac:dyDescent="0.3">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x14ac:dyDescent="0.3">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x14ac:dyDescent="0.3">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x14ac:dyDescent="0.3">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x14ac:dyDescent="0.3">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x14ac:dyDescent="0.3">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x14ac:dyDescent="0.3">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x14ac:dyDescent="0.3">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x14ac:dyDescent="0.3">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x14ac:dyDescent="0.3">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x14ac:dyDescent="0.3">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x14ac:dyDescent="0.3">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x14ac:dyDescent="0.3">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x14ac:dyDescent="0.3">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x14ac:dyDescent="0.3">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x14ac:dyDescent="0.3">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x14ac:dyDescent="0.3">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x14ac:dyDescent="0.3">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x14ac:dyDescent="0.3">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x14ac:dyDescent="0.3">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x14ac:dyDescent="0.3">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x14ac:dyDescent="0.3">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x14ac:dyDescent="0.3">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x14ac:dyDescent="0.3">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x14ac:dyDescent="0.3">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x14ac:dyDescent="0.3">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x14ac:dyDescent="0.3">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x14ac:dyDescent="0.3">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x14ac:dyDescent="0.3">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x14ac:dyDescent="0.3">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x14ac:dyDescent="0.3">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x14ac:dyDescent="0.3">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x14ac:dyDescent="0.3">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x14ac:dyDescent="0.3">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x14ac:dyDescent="0.3">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x14ac:dyDescent="0.3">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x14ac:dyDescent="0.3">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x14ac:dyDescent="0.3">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x14ac:dyDescent="0.3">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x14ac:dyDescent="0.3">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x14ac:dyDescent="0.3">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x14ac:dyDescent="0.3">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x14ac:dyDescent="0.3">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x14ac:dyDescent="0.3">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x14ac:dyDescent="0.3">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x14ac:dyDescent="0.3">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x14ac:dyDescent="0.3">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x14ac:dyDescent="0.3">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x14ac:dyDescent="0.3">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x14ac:dyDescent="0.3">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x14ac:dyDescent="0.3">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x14ac:dyDescent="0.3">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x14ac:dyDescent="0.3">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x14ac:dyDescent="0.3">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x14ac:dyDescent="0.3">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x14ac:dyDescent="0.3">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x14ac:dyDescent="0.3">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x14ac:dyDescent="0.3">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x14ac:dyDescent="0.3">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x14ac:dyDescent="0.3">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x14ac:dyDescent="0.3">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x14ac:dyDescent="0.3">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x14ac:dyDescent="0.3">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x14ac:dyDescent="0.3">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x14ac:dyDescent="0.3">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x14ac:dyDescent="0.3">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x14ac:dyDescent="0.3">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x14ac:dyDescent="0.3">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x14ac:dyDescent="0.3">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x14ac:dyDescent="0.3">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x14ac:dyDescent="0.3">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x14ac:dyDescent="0.3">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x14ac:dyDescent="0.3">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x14ac:dyDescent="0.3">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x14ac:dyDescent="0.3">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x14ac:dyDescent="0.3">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x14ac:dyDescent="0.3">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x14ac:dyDescent="0.3">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x14ac:dyDescent="0.3">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x14ac:dyDescent="0.3">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x14ac:dyDescent="0.3">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x14ac:dyDescent="0.3">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x14ac:dyDescent="0.3">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x14ac:dyDescent="0.3">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x14ac:dyDescent="0.3">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x14ac:dyDescent="0.3">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x14ac:dyDescent="0.3">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x14ac:dyDescent="0.3">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x14ac:dyDescent="0.3">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x14ac:dyDescent="0.3">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x14ac:dyDescent="0.3">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x14ac:dyDescent="0.3">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x14ac:dyDescent="0.3">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x14ac:dyDescent="0.3">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x14ac:dyDescent="0.3">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x14ac:dyDescent="0.3">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x14ac:dyDescent="0.3">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x14ac:dyDescent="0.3">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x14ac:dyDescent="0.3">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x14ac:dyDescent="0.3">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x14ac:dyDescent="0.3">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x14ac:dyDescent="0.3">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x14ac:dyDescent="0.3">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x14ac:dyDescent="0.3">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x14ac:dyDescent="0.3">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x14ac:dyDescent="0.3">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x14ac:dyDescent="0.3">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x14ac:dyDescent="0.3">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x14ac:dyDescent="0.3">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x14ac:dyDescent="0.3">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x14ac:dyDescent="0.3">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x14ac:dyDescent="0.3">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x14ac:dyDescent="0.3">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x14ac:dyDescent="0.3">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x14ac:dyDescent="0.3">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x14ac:dyDescent="0.3">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x14ac:dyDescent="0.3">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x14ac:dyDescent="0.3">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x14ac:dyDescent="0.3">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x14ac:dyDescent="0.3">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x14ac:dyDescent="0.3">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x14ac:dyDescent="0.3">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x14ac:dyDescent="0.3">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x14ac:dyDescent="0.3">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x14ac:dyDescent="0.3">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x14ac:dyDescent="0.3">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x14ac:dyDescent="0.3">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x14ac:dyDescent="0.3">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x14ac:dyDescent="0.3">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x14ac:dyDescent="0.3">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x14ac:dyDescent="0.3">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x14ac:dyDescent="0.3">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x14ac:dyDescent="0.3">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x14ac:dyDescent="0.3">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x14ac:dyDescent="0.3">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x14ac:dyDescent="0.3">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x14ac:dyDescent="0.3">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x14ac:dyDescent="0.3">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x14ac:dyDescent="0.3">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x14ac:dyDescent="0.3">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x14ac:dyDescent="0.3">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x14ac:dyDescent="0.3">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x14ac:dyDescent="0.3">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x14ac:dyDescent="0.3">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x14ac:dyDescent="0.3">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x14ac:dyDescent="0.3">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x14ac:dyDescent="0.3">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x14ac:dyDescent="0.3">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x14ac:dyDescent="0.3">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x14ac:dyDescent="0.3">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x14ac:dyDescent="0.3">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x14ac:dyDescent="0.3">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x14ac:dyDescent="0.3">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x14ac:dyDescent="0.3">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x14ac:dyDescent="0.3">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x14ac:dyDescent="0.3">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x14ac:dyDescent="0.3">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x14ac:dyDescent="0.3">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x14ac:dyDescent="0.3">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x14ac:dyDescent="0.3">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x14ac:dyDescent="0.3">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x14ac:dyDescent="0.3">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x14ac:dyDescent="0.3">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x14ac:dyDescent="0.3">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x14ac:dyDescent="0.3">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x14ac:dyDescent="0.3">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x14ac:dyDescent="0.3">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x14ac:dyDescent="0.3">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x14ac:dyDescent="0.3">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x14ac:dyDescent="0.3">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x14ac:dyDescent="0.3">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x14ac:dyDescent="0.3">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x14ac:dyDescent="0.3">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x14ac:dyDescent="0.3">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x14ac:dyDescent="0.3">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x14ac:dyDescent="0.3">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x14ac:dyDescent="0.3">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x14ac:dyDescent="0.3">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x14ac:dyDescent="0.3">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x14ac:dyDescent="0.3">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x14ac:dyDescent="0.3">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x14ac:dyDescent="0.3">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x14ac:dyDescent="0.3">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x14ac:dyDescent="0.3">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x14ac:dyDescent="0.3">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x14ac:dyDescent="0.3">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x14ac:dyDescent="0.3">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x14ac:dyDescent="0.3">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x14ac:dyDescent="0.3">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x14ac:dyDescent="0.3">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x14ac:dyDescent="0.3">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x14ac:dyDescent="0.3">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x14ac:dyDescent="0.3">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x14ac:dyDescent="0.3">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x14ac:dyDescent="0.3">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x14ac:dyDescent="0.3">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x14ac:dyDescent="0.3">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x14ac:dyDescent="0.3">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x14ac:dyDescent="0.3">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x14ac:dyDescent="0.3">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x14ac:dyDescent="0.3">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x14ac:dyDescent="0.3">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x14ac:dyDescent="0.3">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x14ac:dyDescent="0.3">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x14ac:dyDescent="0.3">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x14ac:dyDescent="0.3">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x14ac:dyDescent="0.3">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x14ac:dyDescent="0.3">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x14ac:dyDescent="0.3">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x14ac:dyDescent="0.3">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x14ac:dyDescent="0.3">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x14ac:dyDescent="0.3">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x14ac:dyDescent="0.3">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x14ac:dyDescent="0.3">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x14ac:dyDescent="0.3">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x14ac:dyDescent="0.3">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x14ac:dyDescent="0.3">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x14ac:dyDescent="0.3">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x14ac:dyDescent="0.3">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x14ac:dyDescent="0.3">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x14ac:dyDescent="0.3">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x14ac:dyDescent="0.3">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x14ac:dyDescent="0.3">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x14ac:dyDescent="0.3">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x14ac:dyDescent="0.3">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x14ac:dyDescent="0.3">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x14ac:dyDescent="0.3">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x14ac:dyDescent="0.3">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x14ac:dyDescent="0.3">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x14ac:dyDescent="0.3">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x14ac:dyDescent="0.3">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x14ac:dyDescent="0.3">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x14ac:dyDescent="0.3">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x14ac:dyDescent="0.3">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x14ac:dyDescent="0.3">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x14ac:dyDescent="0.3">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x14ac:dyDescent="0.3">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x14ac:dyDescent="0.3">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x14ac:dyDescent="0.3">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x14ac:dyDescent="0.3">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x14ac:dyDescent="0.3">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x14ac:dyDescent="0.3">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x14ac:dyDescent="0.3">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x14ac:dyDescent="0.3">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x14ac:dyDescent="0.3">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x14ac:dyDescent="0.3">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x14ac:dyDescent="0.3">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x14ac:dyDescent="0.3">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x14ac:dyDescent="0.3">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x14ac:dyDescent="0.3">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x14ac:dyDescent="0.3">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x14ac:dyDescent="0.3">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x14ac:dyDescent="0.3">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x14ac:dyDescent="0.3">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x14ac:dyDescent="0.3">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x14ac:dyDescent="0.3">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x14ac:dyDescent="0.3">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x14ac:dyDescent="0.3">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x14ac:dyDescent="0.3">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x14ac:dyDescent="0.3">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x14ac:dyDescent="0.3">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x14ac:dyDescent="0.3">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x14ac:dyDescent="0.3">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x14ac:dyDescent="0.3">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x14ac:dyDescent="0.3">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x14ac:dyDescent="0.3">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x14ac:dyDescent="0.3">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x14ac:dyDescent="0.3">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x14ac:dyDescent="0.3">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x14ac:dyDescent="0.3">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x14ac:dyDescent="0.3">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x14ac:dyDescent="0.3">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x14ac:dyDescent="0.3">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x14ac:dyDescent="0.3">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x14ac:dyDescent="0.3">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x14ac:dyDescent="0.3">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x14ac:dyDescent="0.3">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x14ac:dyDescent="0.3">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x14ac:dyDescent="0.3">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x14ac:dyDescent="0.3">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x14ac:dyDescent="0.3">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x14ac:dyDescent="0.3">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x14ac:dyDescent="0.3">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x14ac:dyDescent="0.3">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x14ac:dyDescent="0.3">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x14ac:dyDescent="0.3">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x14ac:dyDescent="0.3">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x14ac:dyDescent="0.3">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x14ac:dyDescent="0.3">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x14ac:dyDescent="0.3">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x14ac:dyDescent="0.3">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x14ac:dyDescent="0.3">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x14ac:dyDescent="0.3">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x14ac:dyDescent="0.3">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x14ac:dyDescent="0.3">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x14ac:dyDescent="0.3">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x14ac:dyDescent="0.3">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x14ac:dyDescent="0.3">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x14ac:dyDescent="0.3">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x14ac:dyDescent="0.3">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x14ac:dyDescent="0.3">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x14ac:dyDescent="0.3">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x14ac:dyDescent="0.3">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x14ac:dyDescent="0.3">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x14ac:dyDescent="0.3">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x14ac:dyDescent="0.3">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x14ac:dyDescent="0.3">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x14ac:dyDescent="0.3">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x14ac:dyDescent="0.3">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x14ac:dyDescent="0.3">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x14ac:dyDescent="0.3">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x14ac:dyDescent="0.3">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x14ac:dyDescent="0.3">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x14ac:dyDescent="0.3">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x14ac:dyDescent="0.3">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x14ac:dyDescent="0.3">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x14ac:dyDescent="0.3">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x14ac:dyDescent="0.3">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x14ac:dyDescent="0.3">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x14ac:dyDescent="0.3">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x14ac:dyDescent="0.3">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x14ac:dyDescent="0.3">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x14ac:dyDescent="0.3">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x14ac:dyDescent="0.3">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x14ac:dyDescent="0.3">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x14ac:dyDescent="0.3">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x14ac:dyDescent="0.3">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x14ac:dyDescent="0.3">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x14ac:dyDescent="0.3">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x14ac:dyDescent="0.3">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x14ac:dyDescent="0.3">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x14ac:dyDescent="0.3">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x14ac:dyDescent="0.3">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x14ac:dyDescent="0.3">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x14ac:dyDescent="0.3">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x14ac:dyDescent="0.3">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x14ac:dyDescent="0.3">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x14ac:dyDescent="0.3">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x14ac:dyDescent="0.3">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x14ac:dyDescent="0.3">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x14ac:dyDescent="0.3">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x14ac:dyDescent="0.3">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x14ac:dyDescent="0.3">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x14ac:dyDescent="0.3">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x14ac:dyDescent="0.3">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x14ac:dyDescent="0.3">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x14ac:dyDescent="0.3">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x14ac:dyDescent="0.3">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x14ac:dyDescent="0.3">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x14ac:dyDescent="0.3">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x14ac:dyDescent="0.3">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x14ac:dyDescent="0.3">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x14ac:dyDescent="0.3">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x14ac:dyDescent="0.3">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x14ac:dyDescent="0.3">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x14ac:dyDescent="0.3">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x14ac:dyDescent="0.3">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x14ac:dyDescent="0.3">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x14ac:dyDescent="0.3">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x14ac:dyDescent="0.3">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x14ac:dyDescent="0.3">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x14ac:dyDescent="0.3">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x14ac:dyDescent="0.3">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x14ac:dyDescent="0.3">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x14ac:dyDescent="0.3">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x14ac:dyDescent="0.3">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x14ac:dyDescent="0.3">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x14ac:dyDescent="0.3">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x14ac:dyDescent="0.3">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x14ac:dyDescent="0.3">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x14ac:dyDescent="0.3">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x14ac:dyDescent="0.3">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x14ac:dyDescent="0.3">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x14ac:dyDescent="0.3">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x14ac:dyDescent="0.3">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x14ac:dyDescent="0.3">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x14ac:dyDescent="0.3">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x14ac:dyDescent="0.3">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x14ac:dyDescent="0.3">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x14ac:dyDescent="0.3">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x14ac:dyDescent="0.3">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x14ac:dyDescent="0.3">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x14ac:dyDescent="0.3">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x14ac:dyDescent="0.3">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x14ac:dyDescent="0.3">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x14ac:dyDescent="0.3">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x14ac:dyDescent="0.3">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x14ac:dyDescent="0.3">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x14ac:dyDescent="0.3">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x14ac:dyDescent="0.3">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x14ac:dyDescent="0.3">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x14ac:dyDescent="0.3">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x14ac:dyDescent="0.3">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x14ac:dyDescent="0.3">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x14ac:dyDescent="0.3">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x14ac:dyDescent="0.3">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x14ac:dyDescent="0.3">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x14ac:dyDescent="0.3">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x14ac:dyDescent="0.3">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x14ac:dyDescent="0.3">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x14ac:dyDescent="0.3">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x14ac:dyDescent="0.3">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x14ac:dyDescent="0.3">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x14ac:dyDescent="0.3">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x14ac:dyDescent="0.3">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x14ac:dyDescent="0.3">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x14ac:dyDescent="0.3">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x14ac:dyDescent="0.3">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x14ac:dyDescent="0.3">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x14ac:dyDescent="0.3">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x14ac:dyDescent="0.3">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x14ac:dyDescent="0.3">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x14ac:dyDescent="0.3">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x14ac:dyDescent="0.3">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x14ac:dyDescent="0.3">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x14ac:dyDescent="0.3">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x14ac:dyDescent="0.3">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x14ac:dyDescent="0.3">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x14ac:dyDescent="0.3">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x14ac:dyDescent="0.3">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x14ac:dyDescent="0.3">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x14ac:dyDescent="0.3">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x14ac:dyDescent="0.3">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x14ac:dyDescent="0.3">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x14ac:dyDescent="0.3">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x14ac:dyDescent="0.3">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x14ac:dyDescent="0.3">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x14ac:dyDescent="0.3">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x14ac:dyDescent="0.3">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x14ac:dyDescent="0.3">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x14ac:dyDescent="0.3">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x14ac:dyDescent="0.3">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x14ac:dyDescent="0.3">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x14ac:dyDescent="0.3">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x14ac:dyDescent="0.3">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x14ac:dyDescent="0.3">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x14ac:dyDescent="0.3">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x14ac:dyDescent="0.3">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x14ac:dyDescent="0.3">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x14ac:dyDescent="0.3">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x14ac:dyDescent="0.3">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x14ac:dyDescent="0.3">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x14ac:dyDescent="0.3">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x14ac:dyDescent="0.3">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x14ac:dyDescent="0.3">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x14ac:dyDescent="0.3">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x14ac:dyDescent="0.3">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x14ac:dyDescent="0.3">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x14ac:dyDescent="0.3">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x14ac:dyDescent="0.3">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x14ac:dyDescent="0.3">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x14ac:dyDescent="0.3">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x14ac:dyDescent="0.3">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x14ac:dyDescent="0.3">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x14ac:dyDescent="0.3">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x14ac:dyDescent="0.3">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x14ac:dyDescent="0.3">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x14ac:dyDescent="0.3">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x14ac:dyDescent="0.3">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x14ac:dyDescent="0.3">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x14ac:dyDescent="0.3">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x14ac:dyDescent="0.3">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x14ac:dyDescent="0.3">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x14ac:dyDescent="0.3">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x14ac:dyDescent="0.3">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x14ac:dyDescent="0.3">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x14ac:dyDescent="0.3">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x14ac:dyDescent="0.3">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x14ac:dyDescent="0.3">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x14ac:dyDescent="0.3">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x14ac:dyDescent="0.3">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x14ac:dyDescent="0.3">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x14ac:dyDescent="0.3">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x14ac:dyDescent="0.3">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x14ac:dyDescent="0.3">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x14ac:dyDescent="0.3">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x14ac:dyDescent="0.3">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x14ac:dyDescent="0.3">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x14ac:dyDescent="0.3">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x14ac:dyDescent="0.3">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x14ac:dyDescent="0.3">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x14ac:dyDescent="0.3">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x14ac:dyDescent="0.3">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x14ac:dyDescent="0.3">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x14ac:dyDescent="0.3">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x14ac:dyDescent="0.3">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x14ac:dyDescent="0.3">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x14ac:dyDescent="0.3">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x14ac:dyDescent="0.3">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x14ac:dyDescent="0.3">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x14ac:dyDescent="0.3">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x14ac:dyDescent="0.3">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x14ac:dyDescent="0.3">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x14ac:dyDescent="0.3">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x14ac:dyDescent="0.3">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x14ac:dyDescent="0.3">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x14ac:dyDescent="0.3">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x14ac:dyDescent="0.3">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x14ac:dyDescent="0.3">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x14ac:dyDescent="0.3">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x14ac:dyDescent="0.3">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x14ac:dyDescent="0.3">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x14ac:dyDescent="0.3">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x14ac:dyDescent="0.3">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x14ac:dyDescent="0.3">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x14ac:dyDescent="0.3">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x14ac:dyDescent="0.3">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x14ac:dyDescent="0.3">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x14ac:dyDescent="0.3">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x14ac:dyDescent="0.3">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x14ac:dyDescent="0.3">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x14ac:dyDescent="0.3">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x14ac:dyDescent="0.3">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x14ac:dyDescent="0.3">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x14ac:dyDescent="0.3">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x14ac:dyDescent="0.3">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x14ac:dyDescent="0.3">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x14ac:dyDescent="0.3">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x14ac:dyDescent="0.3">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x14ac:dyDescent="0.3">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x14ac:dyDescent="0.3">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x14ac:dyDescent="0.3">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x14ac:dyDescent="0.3">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x14ac:dyDescent="0.3">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x14ac:dyDescent="0.3">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x14ac:dyDescent="0.3">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x14ac:dyDescent="0.3">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x14ac:dyDescent="0.3">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x14ac:dyDescent="0.3">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x14ac:dyDescent="0.3">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x14ac:dyDescent="0.3">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x14ac:dyDescent="0.3">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x14ac:dyDescent="0.3">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x14ac:dyDescent="0.3">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x14ac:dyDescent="0.3">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x14ac:dyDescent="0.3">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x14ac:dyDescent="0.3">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x14ac:dyDescent="0.3">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x14ac:dyDescent="0.3">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x14ac:dyDescent="0.3">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x14ac:dyDescent="0.3">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x14ac:dyDescent="0.3">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x14ac:dyDescent="0.3">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x14ac:dyDescent="0.3">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x14ac:dyDescent="0.3">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x14ac:dyDescent="0.3">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x14ac:dyDescent="0.3">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x14ac:dyDescent="0.3">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x14ac:dyDescent="0.3">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x14ac:dyDescent="0.3">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x14ac:dyDescent="0.3">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x14ac:dyDescent="0.3">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x14ac:dyDescent="0.3">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x14ac:dyDescent="0.3">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x14ac:dyDescent="0.3">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x14ac:dyDescent="0.3">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x14ac:dyDescent="0.3">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x14ac:dyDescent="0.3">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x14ac:dyDescent="0.3">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x14ac:dyDescent="0.3">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x14ac:dyDescent="0.3">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x14ac:dyDescent="0.3">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x14ac:dyDescent="0.3">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x14ac:dyDescent="0.3">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x14ac:dyDescent="0.3">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x14ac:dyDescent="0.3">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x14ac:dyDescent="0.3">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x14ac:dyDescent="0.3">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x14ac:dyDescent="0.3">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x14ac:dyDescent="0.3">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x14ac:dyDescent="0.3">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x14ac:dyDescent="0.3">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x14ac:dyDescent="0.3">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x14ac:dyDescent="0.3">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x14ac:dyDescent="0.3">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x14ac:dyDescent="0.3">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x14ac:dyDescent="0.3">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x14ac:dyDescent="0.3">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x14ac:dyDescent="0.3">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x14ac:dyDescent="0.3">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x14ac:dyDescent="0.3">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x14ac:dyDescent="0.3">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x14ac:dyDescent="0.3">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x14ac:dyDescent="0.3">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x14ac:dyDescent="0.3">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x14ac:dyDescent="0.3">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x14ac:dyDescent="0.3">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x14ac:dyDescent="0.3">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x14ac:dyDescent="0.3">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x14ac:dyDescent="0.3">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x14ac:dyDescent="0.3">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x14ac:dyDescent="0.3">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x14ac:dyDescent="0.3">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x14ac:dyDescent="0.3">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x14ac:dyDescent="0.3">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x14ac:dyDescent="0.3">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x14ac:dyDescent="0.3">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x14ac:dyDescent="0.3">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x14ac:dyDescent="0.3">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x14ac:dyDescent="0.3">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x14ac:dyDescent="0.3">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x14ac:dyDescent="0.3">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x14ac:dyDescent="0.3">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x14ac:dyDescent="0.3">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x14ac:dyDescent="0.3">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x14ac:dyDescent="0.3">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x14ac:dyDescent="0.3">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x14ac:dyDescent="0.3">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x14ac:dyDescent="0.3">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x14ac:dyDescent="0.3">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x14ac:dyDescent="0.3">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x14ac:dyDescent="0.3">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x14ac:dyDescent="0.3">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x14ac:dyDescent="0.3">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x14ac:dyDescent="0.3">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x14ac:dyDescent="0.3">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x14ac:dyDescent="0.3">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x14ac:dyDescent="0.3">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x14ac:dyDescent="0.3">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x14ac:dyDescent="0.3">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x14ac:dyDescent="0.3">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x14ac:dyDescent="0.3">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x14ac:dyDescent="0.3">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x14ac:dyDescent="0.3">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x14ac:dyDescent="0.3">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x14ac:dyDescent="0.3">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x14ac:dyDescent="0.3">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x14ac:dyDescent="0.3">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x14ac:dyDescent="0.3">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x14ac:dyDescent="0.3">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x14ac:dyDescent="0.3">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x14ac:dyDescent="0.3">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x14ac:dyDescent="0.3">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x14ac:dyDescent="0.3">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x14ac:dyDescent="0.3">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x14ac:dyDescent="0.3">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x14ac:dyDescent="0.3">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x14ac:dyDescent="0.3">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x14ac:dyDescent="0.3">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x14ac:dyDescent="0.3">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x14ac:dyDescent="0.3">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x14ac:dyDescent="0.3">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x14ac:dyDescent="0.3">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x14ac:dyDescent="0.3">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x14ac:dyDescent="0.3">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x14ac:dyDescent="0.3">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x14ac:dyDescent="0.3">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x14ac:dyDescent="0.3">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x14ac:dyDescent="0.3">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x14ac:dyDescent="0.3">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x14ac:dyDescent="0.3">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x14ac:dyDescent="0.3">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x14ac:dyDescent="0.3">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x14ac:dyDescent="0.3">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x14ac:dyDescent="0.3">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x14ac:dyDescent="0.3">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x14ac:dyDescent="0.3">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x14ac:dyDescent="0.3">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x14ac:dyDescent="0.3">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x14ac:dyDescent="0.3">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x14ac:dyDescent="0.3">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x14ac:dyDescent="0.3">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x14ac:dyDescent="0.3">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x14ac:dyDescent="0.3">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x14ac:dyDescent="0.3">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x14ac:dyDescent="0.3">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x14ac:dyDescent="0.3">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x14ac:dyDescent="0.3">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x14ac:dyDescent="0.3">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x14ac:dyDescent="0.3">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x14ac:dyDescent="0.3">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x14ac:dyDescent="0.3">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x14ac:dyDescent="0.3">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x14ac:dyDescent="0.3">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x14ac:dyDescent="0.3">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x14ac:dyDescent="0.3">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x14ac:dyDescent="0.3">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x14ac:dyDescent="0.3">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x14ac:dyDescent="0.3">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x14ac:dyDescent="0.3">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x14ac:dyDescent="0.3">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x14ac:dyDescent="0.3">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x14ac:dyDescent="0.3">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x14ac:dyDescent="0.3">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x14ac:dyDescent="0.3">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x14ac:dyDescent="0.3">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x14ac:dyDescent="0.3">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x14ac:dyDescent="0.3">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x14ac:dyDescent="0.3">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x14ac:dyDescent="0.3">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x14ac:dyDescent="0.3">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x14ac:dyDescent="0.3">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x14ac:dyDescent="0.3">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x14ac:dyDescent="0.3">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x14ac:dyDescent="0.3">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x14ac:dyDescent="0.3">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x14ac:dyDescent="0.3">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x14ac:dyDescent="0.3">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x14ac:dyDescent="0.3">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x14ac:dyDescent="0.3">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x14ac:dyDescent="0.3">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x14ac:dyDescent="0.3">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x14ac:dyDescent="0.3">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x14ac:dyDescent="0.3">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x14ac:dyDescent="0.3">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x14ac:dyDescent="0.3">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x14ac:dyDescent="0.3">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x14ac:dyDescent="0.3">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x14ac:dyDescent="0.3">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x14ac:dyDescent="0.3">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x14ac:dyDescent="0.3">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x14ac:dyDescent="0.3">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x14ac:dyDescent="0.3">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x14ac:dyDescent="0.3">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x14ac:dyDescent="0.3">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x14ac:dyDescent="0.3">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x14ac:dyDescent="0.3">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x14ac:dyDescent="0.3">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x14ac:dyDescent="0.3">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x14ac:dyDescent="0.3">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x14ac:dyDescent="0.3">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x14ac:dyDescent="0.3">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x14ac:dyDescent="0.3">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x14ac:dyDescent="0.3">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x14ac:dyDescent="0.3">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x14ac:dyDescent="0.3">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x14ac:dyDescent="0.3">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x14ac:dyDescent="0.3">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x14ac:dyDescent="0.3">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x14ac:dyDescent="0.3">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x14ac:dyDescent="0.3">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x14ac:dyDescent="0.3">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x14ac:dyDescent="0.3">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x14ac:dyDescent="0.3">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x14ac:dyDescent="0.3">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x14ac:dyDescent="0.3">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x14ac:dyDescent="0.3">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x14ac:dyDescent="0.3">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x14ac:dyDescent="0.3">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x14ac:dyDescent="0.3">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x14ac:dyDescent="0.3">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x14ac:dyDescent="0.3">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x14ac:dyDescent="0.3">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x14ac:dyDescent="0.3">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x14ac:dyDescent="0.3">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x14ac:dyDescent="0.3">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x14ac:dyDescent="0.3">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x14ac:dyDescent="0.3">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x14ac:dyDescent="0.3">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x14ac:dyDescent="0.3">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x14ac:dyDescent="0.3">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x14ac:dyDescent="0.3">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x14ac:dyDescent="0.3">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x14ac:dyDescent="0.3">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x14ac:dyDescent="0.3">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x14ac:dyDescent="0.3">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x14ac:dyDescent="0.3">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x14ac:dyDescent="0.3">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x14ac:dyDescent="0.3">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x14ac:dyDescent="0.3">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x14ac:dyDescent="0.3">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x14ac:dyDescent="0.3">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x14ac:dyDescent="0.3">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x14ac:dyDescent="0.3">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x14ac:dyDescent="0.3">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x14ac:dyDescent="0.3">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x14ac:dyDescent="0.3">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x14ac:dyDescent="0.3">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x14ac:dyDescent="0.3">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x14ac:dyDescent="0.3">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x14ac:dyDescent="0.3">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x14ac:dyDescent="0.3">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x14ac:dyDescent="0.3">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x14ac:dyDescent="0.3">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x14ac:dyDescent="0.3">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x14ac:dyDescent="0.3">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x14ac:dyDescent="0.3">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x14ac:dyDescent="0.3">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x14ac:dyDescent="0.3">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x14ac:dyDescent="0.3">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x14ac:dyDescent="0.3">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x14ac:dyDescent="0.3">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x14ac:dyDescent="0.3">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x14ac:dyDescent="0.3">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x14ac:dyDescent="0.3">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x14ac:dyDescent="0.3">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x14ac:dyDescent="0.3">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x14ac:dyDescent="0.3">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x14ac:dyDescent="0.3">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x14ac:dyDescent="0.3">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x14ac:dyDescent="0.3">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x14ac:dyDescent="0.3">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x14ac:dyDescent="0.3">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x14ac:dyDescent="0.3">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x14ac:dyDescent="0.3">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x14ac:dyDescent="0.3">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x14ac:dyDescent="0.3">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x14ac:dyDescent="0.3">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x14ac:dyDescent="0.3">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x14ac:dyDescent="0.3">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x14ac:dyDescent="0.3">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x14ac:dyDescent="0.3">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x14ac:dyDescent="0.3">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x14ac:dyDescent="0.3">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x14ac:dyDescent="0.3">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x14ac:dyDescent="0.3">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x14ac:dyDescent="0.3">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x14ac:dyDescent="0.3">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x14ac:dyDescent="0.3">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x14ac:dyDescent="0.3">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x14ac:dyDescent="0.3">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x14ac:dyDescent="0.3">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x14ac:dyDescent="0.3">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x14ac:dyDescent="0.3">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x14ac:dyDescent="0.3">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x14ac:dyDescent="0.3">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x14ac:dyDescent="0.3">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x14ac:dyDescent="0.3">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x14ac:dyDescent="0.3">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x14ac:dyDescent="0.3">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x14ac:dyDescent="0.3">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x14ac:dyDescent="0.3">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x14ac:dyDescent="0.3">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x14ac:dyDescent="0.3">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x14ac:dyDescent="0.3">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x14ac:dyDescent="0.3">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x14ac:dyDescent="0.3">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x14ac:dyDescent="0.3">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x14ac:dyDescent="0.3">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x14ac:dyDescent="0.3">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x14ac:dyDescent="0.3">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x14ac:dyDescent="0.3">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x14ac:dyDescent="0.3">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x14ac:dyDescent="0.3">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x14ac:dyDescent="0.3">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x14ac:dyDescent="0.3">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x14ac:dyDescent="0.3">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x14ac:dyDescent="0.3">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x14ac:dyDescent="0.3">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x14ac:dyDescent="0.3">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x14ac:dyDescent="0.3">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x14ac:dyDescent="0.3">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x14ac:dyDescent="0.3">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x14ac:dyDescent="0.3">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x14ac:dyDescent="0.3">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x14ac:dyDescent="0.3">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x14ac:dyDescent="0.3">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x14ac:dyDescent="0.3">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x14ac:dyDescent="0.3">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x14ac:dyDescent="0.3">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x14ac:dyDescent="0.3">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x14ac:dyDescent="0.3">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x14ac:dyDescent="0.3">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x14ac:dyDescent="0.3">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x14ac:dyDescent="0.3">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x14ac:dyDescent="0.3">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x14ac:dyDescent="0.3">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x14ac:dyDescent="0.3">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x14ac:dyDescent="0.3">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x14ac:dyDescent="0.3">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x14ac:dyDescent="0.3">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x14ac:dyDescent="0.3">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x14ac:dyDescent="0.3">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x14ac:dyDescent="0.3">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x14ac:dyDescent="0.3">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x14ac:dyDescent="0.3">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x14ac:dyDescent="0.3">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x14ac:dyDescent="0.3">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x14ac:dyDescent="0.3">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x14ac:dyDescent="0.3">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x14ac:dyDescent="0.3">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x14ac:dyDescent="0.3">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x14ac:dyDescent="0.3">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x14ac:dyDescent="0.3">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x14ac:dyDescent="0.3">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x14ac:dyDescent="0.3">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x14ac:dyDescent="0.3">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x14ac:dyDescent="0.3">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x14ac:dyDescent="0.3">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x14ac:dyDescent="0.3">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x14ac:dyDescent="0.3">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x14ac:dyDescent="0.3">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x14ac:dyDescent="0.3">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x14ac:dyDescent="0.3">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x14ac:dyDescent="0.3">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x14ac:dyDescent="0.3">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x14ac:dyDescent="0.3">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x14ac:dyDescent="0.3">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x14ac:dyDescent="0.3">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x14ac:dyDescent="0.3">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x14ac:dyDescent="0.3">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x14ac:dyDescent="0.3">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x14ac:dyDescent="0.3">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x14ac:dyDescent="0.3">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x14ac:dyDescent="0.3">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x14ac:dyDescent="0.3">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x14ac:dyDescent="0.3">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x14ac:dyDescent="0.3">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x14ac:dyDescent="0.3">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x14ac:dyDescent="0.3">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x14ac:dyDescent="0.3">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x14ac:dyDescent="0.3">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x14ac:dyDescent="0.3">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x14ac:dyDescent="0.3">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x14ac:dyDescent="0.3">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x14ac:dyDescent="0.3">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x14ac:dyDescent="0.3">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x14ac:dyDescent="0.3">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x14ac:dyDescent="0.3">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x14ac:dyDescent="0.3">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x14ac:dyDescent="0.3">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x14ac:dyDescent="0.3">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x14ac:dyDescent="0.3">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x14ac:dyDescent="0.3">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x14ac:dyDescent="0.3">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x14ac:dyDescent="0.3">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x14ac:dyDescent="0.3">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x14ac:dyDescent="0.3">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x14ac:dyDescent="0.3">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x14ac:dyDescent="0.3">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x14ac:dyDescent="0.3">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x14ac:dyDescent="0.3">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x14ac:dyDescent="0.3">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x14ac:dyDescent="0.3">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x14ac:dyDescent="0.3">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x14ac:dyDescent="0.3">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x14ac:dyDescent="0.3">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x14ac:dyDescent="0.3">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x14ac:dyDescent="0.3">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x14ac:dyDescent="0.3">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x14ac:dyDescent="0.3">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x14ac:dyDescent="0.3">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x14ac:dyDescent="0.3">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x14ac:dyDescent="0.3">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x14ac:dyDescent="0.3">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x14ac:dyDescent="0.3">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x14ac:dyDescent="0.3">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x14ac:dyDescent="0.3">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x14ac:dyDescent="0.3">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x14ac:dyDescent="0.3">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x14ac:dyDescent="0.3">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x14ac:dyDescent="0.3">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x14ac:dyDescent="0.3">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x14ac:dyDescent="0.3">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x14ac:dyDescent="0.3">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x14ac:dyDescent="0.3">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x14ac:dyDescent="0.3">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x14ac:dyDescent="0.3">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x14ac:dyDescent="0.3">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x14ac:dyDescent="0.3">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x14ac:dyDescent="0.3">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x14ac:dyDescent="0.3">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x14ac:dyDescent="0.3">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x14ac:dyDescent="0.3">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x14ac:dyDescent="0.3">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x14ac:dyDescent="0.3">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x14ac:dyDescent="0.3">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x14ac:dyDescent="0.3">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x14ac:dyDescent="0.3">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x14ac:dyDescent="0.3">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x14ac:dyDescent="0.3">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x14ac:dyDescent="0.3">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x14ac:dyDescent="0.3">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x14ac:dyDescent="0.3">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x14ac:dyDescent="0.3">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x14ac:dyDescent="0.3">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x14ac:dyDescent="0.3">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x14ac:dyDescent="0.3">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x14ac:dyDescent="0.3">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x14ac:dyDescent="0.3">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x14ac:dyDescent="0.3">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x14ac:dyDescent="0.3">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x14ac:dyDescent="0.3">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x14ac:dyDescent="0.3">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x14ac:dyDescent="0.3">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x14ac:dyDescent="0.3">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x14ac:dyDescent="0.3">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x14ac:dyDescent="0.3">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x14ac:dyDescent="0.3">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x14ac:dyDescent="0.3">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x14ac:dyDescent="0.3">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x14ac:dyDescent="0.3">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x14ac:dyDescent="0.3">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x14ac:dyDescent="0.3">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x14ac:dyDescent="0.3">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x14ac:dyDescent="0.3">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x14ac:dyDescent="0.3">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x14ac:dyDescent="0.3">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x14ac:dyDescent="0.3">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x14ac:dyDescent="0.3">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x14ac:dyDescent="0.3">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x14ac:dyDescent="0.3">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x14ac:dyDescent="0.3">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x14ac:dyDescent="0.3">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x14ac:dyDescent="0.3">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x14ac:dyDescent="0.3">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x14ac:dyDescent="0.3">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x14ac:dyDescent="0.3">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x14ac:dyDescent="0.3">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x14ac:dyDescent="0.3">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x14ac:dyDescent="0.3">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x14ac:dyDescent="0.3">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x14ac:dyDescent="0.3">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x14ac:dyDescent="0.3">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x14ac:dyDescent="0.3">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x14ac:dyDescent="0.3">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x14ac:dyDescent="0.3">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x14ac:dyDescent="0.3">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x14ac:dyDescent="0.3">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x14ac:dyDescent="0.3">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x14ac:dyDescent="0.3">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x14ac:dyDescent="0.3">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x14ac:dyDescent="0.3">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x14ac:dyDescent="0.3">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x14ac:dyDescent="0.3">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x14ac:dyDescent="0.3">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x14ac:dyDescent="0.3">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x14ac:dyDescent="0.3">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x14ac:dyDescent="0.3">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x14ac:dyDescent="0.3">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x14ac:dyDescent="0.3">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x14ac:dyDescent="0.3">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x14ac:dyDescent="0.3">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x14ac:dyDescent="0.3">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x14ac:dyDescent="0.3">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x14ac:dyDescent="0.3">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x14ac:dyDescent="0.3">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x14ac:dyDescent="0.3">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x14ac:dyDescent="0.3">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x14ac:dyDescent="0.3">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x14ac:dyDescent="0.3">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x14ac:dyDescent="0.3">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x14ac:dyDescent="0.3">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x14ac:dyDescent="0.3">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x14ac:dyDescent="0.3">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x14ac:dyDescent="0.3">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x14ac:dyDescent="0.3">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x14ac:dyDescent="0.3">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x14ac:dyDescent="0.3">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x14ac:dyDescent="0.3">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x14ac:dyDescent="0.3">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x14ac:dyDescent="0.3">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x14ac:dyDescent="0.3">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x14ac:dyDescent="0.3">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x14ac:dyDescent="0.3">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x14ac:dyDescent="0.3">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x14ac:dyDescent="0.3">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x14ac:dyDescent="0.3">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x14ac:dyDescent="0.3">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x14ac:dyDescent="0.3">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x14ac:dyDescent="0.3">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x14ac:dyDescent="0.3">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x14ac:dyDescent="0.3">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x14ac:dyDescent="0.3">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x14ac:dyDescent="0.3">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x14ac:dyDescent="0.3">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x14ac:dyDescent="0.3">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x14ac:dyDescent="0.3">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x14ac:dyDescent="0.3">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x14ac:dyDescent="0.3">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x14ac:dyDescent="0.3">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x14ac:dyDescent="0.3">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x14ac:dyDescent="0.3">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x14ac:dyDescent="0.3">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x14ac:dyDescent="0.3">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x14ac:dyDescent="0.3">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x14ac:dyDescent="0.3">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x14ac:dyDescent="0.3">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x14ac:dyDescent="0.3">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x14ac:dyDescent="0.3">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x14ac:dyDescent="0.3">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x14ac:dyDescent="0.3">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x14ac:dyDescent="0.3">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x14ac:dyDescent="0.3">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x14ac:dyDescent="0.3">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x14ac:dyDescent="0.3">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x14ac:dyDescent="0.3">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x14ac:dyDescent="0.3">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x14ac:dyDescent="0.3">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x14ac:dyDescent="0.3">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x14ac:dyDescent="0.3">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x14ac:dyDescent="0.3">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x14ac:dyDescent="0.3">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x14ac:dyDescent="0.3">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x14ac:dyDescent="0.3">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x14ac:dyDescent="0.3">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x14ac:dyDescent="0.3">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x14ac:dyDescent="0.3">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x14ac:dyDescent="0.3">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x14ac:dyDescent="0.3">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x14ac:dyDescent="0.3">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x14ac:dyDescent="0.3">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x14ac:dyDescent="0.3">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x14ac:dyDescent="0.3">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x14ac:dyDescent="0.3">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x14ac:dyDescent="0.3">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x14ac:dyDescent="0.3">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x14ac:dyDescent="0.3">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x14ac:dyDescent="0.3">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x14ac:dyDescent="0.3">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x14ac:dyDescent="0.3">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x14ac:dyDescent="0.3">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x14ac:dyDescent="0.3">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x14ac:dyDescent="0.3">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x14ac:dyDescent="0.3">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x14ac:dyDescent="0.3">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x14ac:dyDescent="0.3">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x14ac:dyDescent="0.3">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x14ac:dyDescent="0.3">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x14ac:dyDescent="0.3">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x14ac:dyDescent="0.3">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x14ac:dyDescent="0.3">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x14ac:dyDescent="0.3">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x14ac:dyDescent="0.3">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x14ac:dyDescent="0.3">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x14ac:dyDescent="0.3">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x14ac:dyDescent="0.3">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x14ac:dyDescent="0.3">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x14ac:dyDescent="0.3">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x14ac:dyDescent="0.3">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x14ac:dyDescent="0.3">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x14ac:dyDescent="0.3">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x14ac:dyDescent="0.3">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x14ac:dyDescent="0.3">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x14ac:dyDescent="0.3">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x14ac:dyDescent="0.3">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x14ac:dyDescent="0.3">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x14ac:dyDescent="0.3">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x14ac:dyDescent="0.3">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x14ac:dyDescent="0.3">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x14ac:dyDescent="0.3">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x14ac:dyDescent="0.3">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x14ac:dyDescent="0.3">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x14ac:dyDescent="0.3">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x14ac:dyDescent="0.3">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x14ac:dyDescent="0.3">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x14ac:dyDescent="0.3">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x14ac:dyDescent="0.3">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x14ac:dyDescent="0.3">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x14ac:dyDescent="0.3">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x14ac:dyDescent="0.3">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x14ac:dyDescent="0.3">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x14ac:dyDescent="0.3">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x14ac:dyDescent="0.3">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x14ac:dyDescent="0.3">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x14ac:dyDescent="0.3">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x14ac:dyDescent="0.3">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x14ac:dyDescent="0.3">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x14ac:dyDescent="0.3">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x14ac:dyDescent="0.3">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x14ac:dyDescent="0.3">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x14ac:dyDescent="0.3">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x14ac:dyDescent="0.3">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x14ac:dyDescent="0.3">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x14ac:dyDescent="0.3">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x14ac:dyDescent="0.3">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x14ac:dyDescent="0.3">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x14ac:dyDescent="0.3">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x14ac:dyDescent="0.3">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x14ac:dyDescent="0.3">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x14ac:dyDescent="0.3">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x14ac:dyDescent="0.3">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x14ac:dyDescent="0.3">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x14ac:dyDescent="0.3">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x14ac:dyDescent="0.3">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x14ac:dyDescent="0.3">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x14ac:dyDescent="0.3">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x14ac:dyDescent="0.3">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x14ac:dyDescent="0.3">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x14ac:dyDescent="0.3">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x14ac:dyDescent="0.3">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x14ac:dyDescent="0.3">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x14ac:dyDescent="0.3">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x14ac:dyDescent="0.3">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x14ac:dyDescent="0.3">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x14ac:dyDescent="0.3">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x14ac:dyDescent="0.3">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x14ac:dyDescent="0.3">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x14ac:dyDescent="0.3">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x14ac:dyDescent="0.3">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x14ac:dyDescent="0.3">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x14ac:dyDescent="0.3">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x14ac:dyDescent="0.3">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x14ac:dyDescent="0.3">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x14ac:dyDescent="0.3">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x14ac:dyDescent="0.3">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x14ac:dyDescent="0.3">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x14ac:dyDescent="0.3">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x14ac:dyDescent="0.3">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x14ac:dyDescent="0.3">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x14ac:dyDescent="0.3">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x14ac:dyDescent="0.3">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x14ac:dyDescent="0.3">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x14ac:dyDescent="0.3">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x14ac:dyDescent="0.3">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x14ac:dyDescent="0.3">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x14ac:dyDescent="0.3">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x14ac:dyDescent="0.3">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x14ac:dyDescent="0.3">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x14ac:dyDescent="0.3">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x14ac:dyDescent="0.3">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x14ac:dyDescent="0.3">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x14ac:dyDescent="0.3">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x14ac:dyDescent="0.3">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x14ac:dyDescent="0.3">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x14ac:dyDescent="0.3">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x14ac:dyDescent="0.3">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x14ac:dyDescent="0.3">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x14ac:dyDescent="0.3">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x14ac:dyDescent="0.3">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x14ac:dyDescent="0.3">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x14ac:dyDescent="0.3">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x14ac:dyDescent="0.3">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x14ac:dyDescent="0.3">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x14ac:dyDescent="0.3">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x14ac:dyDescent="0.3">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x14ac:dyDescent="0.3">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x14ac:dyDescent="0.3">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x14ac:dyDescent="0.3">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x14ac:dyDescent="0.3">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x14ac:dyDescent="0.3">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x14ac:dyDescent="0.3">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x14ac:dyDescent="0.3">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x14ac:dyDescent="0.3">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x14ac:dyDescent="0.3">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x14ac:dyDescent="0.3">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x14ac:dyDescent="0.3">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x14ac:dyDescent="0.3">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x14ac:dyDescent="0.3">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x14ac:dyDescent="0.3">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x14ac:dyDescent="0.3">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x14ac:dyDescent="0.3">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x14ac:dyDescent="0.3">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x14ac:dyDescent="0.3">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x14ac:dyDescent="0.3">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x14ac:dyDescent="0.3">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x14ac:dyDescent="0.3">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x14ac:dyDescent="0.3">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x14ac:dyDescent="0.3">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x14ac:dyDescent="0.3">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x14ac:dyDescent="0.3">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x14ac:dyDescent="0.3">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x14ac:dyDescent="0.3">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x14ac:dyDescent="0.3">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x14ac:dyDescent="0.3">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x14ac:dyDescent="0.3">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x14ac:dyDescent="0.3">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x14ac:dyDescent="0.3">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x14ac:dyDescent="0.3">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x14ac:dyDescent="0.3">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x14ac:dyDescent="0.3">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x14ac:dyDescent="0.3">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x14ac:dyDescent="0.3">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x14ac:dyDescent="0.3">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x14ac:dyDescent="0.3">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x14ac:dyDescent="0.3">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x14ac:dyDescent="0.3">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x14ac:dyDescent="0.3">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x14ac:dyDescent="0.3">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x14ac:dyDescent="0.3">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x14ac:dyDescent="0.3">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x14ac:dyDescent="0.3">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x14ac:dyDescent="0.3">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x14ac:dyDescent="0.3">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x14ac:dyDescent="0.3">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x14ac:dyDescent="0.3">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x14ac:dyDescent="0.3">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x14ac:dyDescent="0.3">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x14ac:dyDescent="0.3">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x14ac:dyDescent="0.3">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x14ac:dyDescent="0.3">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x14ac:dyDescent="0.3">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x14ac:dyDescent="0.3">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x14ac:dyDescent="0.3">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x14ac:dyDescent="0.3">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x14ac:dyDescent="0.3">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x14ac:dyDescent="0.3">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x14ac:dyDescent="0.3">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x14ac:dyDescent="0.3">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x14ac:dyDescent="0.3">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x14ac:dyDescent="0.3">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x14ac:dyDescent="0.3">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x14ac:dyDescent="0.3">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x14ac:dyDescent="0.3">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x14ac:dyDescent="0.3">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x14ac:dyDescent="0.3">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x14ac:dyDescent="0.3">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x14ac:dyDescent="0.3">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x14ac:dyDescent="0.3">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x14ac:dyDescent="0.3">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x14ac:dyDescent="0.3">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x14ac:dyDescent="0.3">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x14ac:dyDescent="0.3">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x14ac:dyDescent="0.3">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x14ac:dyDescent="0.3">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x14ac:dyDescent="0.3">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x14ac:dyDescent="0.3">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x14ac:dyDescent="0.3">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x14ac:dyDescent="0.3">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x14ac:dyDescent="0.3">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x14ac:dyDescent="0.3">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x14ac:dyDescent="0.3">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x14ac:dyDescent="0.3">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x14ac:dyDescent="0.3">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x14ac:dyDescent="0.3">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x14ac:dyDescent="0.3">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x14ac:dyDescent="0.3">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x14ac:dyDescent="0.3">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x14ac:dyDescent="0.3">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x14ac:dyDescent="0.3">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x14ac:dyDescent="0.3">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x14ac:dyDescent="0.3">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x14ac:dyDescent="0.3">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x14ac:dyDescent="0.3">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x14ac:dyDescent="0.3">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x14ac:dyDescent="0.3">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x14ac:dyDescent="0.3">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x14ac:dyDescent="0.3">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x14ac:dyDescent="0.3">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x14ac:dyDescent="0.3">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x14ac:dyDescent="0.3">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x14ac:dyDescent="0.3">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x14ac:dyDescent="0.3">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x14ac:dyDescent="0.3">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x14ac:dyDescent="0.3">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x14ac:dyDescent="0.3">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x14ac:dyDescent="0.3">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x14ac:dyDescent="0.3">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x14ac:dyDescent="0.3">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x14ac:dyDescent="0.3">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x14ac:dyDescent="0.3">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x14ac:dyDescent="0.3">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x14ac:dyDescent="0.3">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x14ac:dyDescent="0.3">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x14ac:dyDescent="0.3">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x14ac:dyDescent="0.3">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x14ac:dyDescent="0.3">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x14ac:dyDescent="0.3">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x14ac:dyDescent="0.3">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x14ac:dyDescent="0.3">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x14ac:dyDescent="0.3">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x14ac:dyDescent="0.3">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x14ac:dyDescent="0.3">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x14ac:dyDescent="0.3">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x14ac:dyDescent="0.3">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x14ac:dyDescent="0.3">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x14ac:dyDescent="0.3">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x14ac:dyDescent="0.3">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x14ac:dyDescent="0.3">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x14ac:dyDescent="0.3">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x14ac:dyDescent="0.3">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x14ac:dyDescent="0.3">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x14ac:dyDescent="0.3">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x14ac:dyDescent="0.3">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x14ac:dyDescent="0.3">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x14ac:dyDescent="0.3">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x14ac:dyDescent="0.3">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x14ac:dyDescent="0.3">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x14ac:dyDescent="0.3">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x14ac:dyDescent="0.3">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x14ac:dyDescent="0.3">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x14ac:dyDescent="0.3">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x14ac:dyDescent="0.3">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x14ac:dyDescent="0.3">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x14ac:dyDescent="0.3">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x14ac:dyDescent="0.3">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x14ac:dyDescent="0.3">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x14ac:dyDescent="0.3">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x14ac:dyDescent="0.3">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x14ac:dyDescent="0.3">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x14ac:dyDescent="0.3">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x14ac:dyDescent="0.3">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x14ac:dyDescent="0.3">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x14ac:dyDescent="0.3">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x14ac:dyDescent="0.3">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x14ac:dyDescent="0.3">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x14ac:dyDescent="0.3">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x14ac:dyDescent="0.3">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x14ac:dyDescent="0.3">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x14ac:dyDescent="0.3">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x14ac:dyDescent="0.3">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x14ac:dyDescent="0.3">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x14ac:dyDescent="0.3">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x14ac:dyDescent="0.3">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x14ac:dyDescent="0.3">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x14ac:dyDescent="0.3">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x14ac:dyDescent="0.3">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x14ac:dyDescent="0.3">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x14ac:dyDescent="0.3">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x14ac:dyDescent="0.3">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x14ac:dyDescent="0.3">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x14ac:dyDescent="0.3">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x14ac:dyDescent="0.3">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x14ac:dyDescent="0.3">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x14ac:dyDescent="0.3">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x14ac:dyDescent="0.3">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x14ac:dyDescent="0.3">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x14ac:dyDescent="0.3">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x14ac:dyDescent="0.3">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x14ac:dyDescent="0.3">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x14ac:dyDescent="0.3">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x14ac:dyDescent="0.3">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x14ac:dyDescent="0.3">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x14ac:dyDescent="0.3">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x14ac:dyDescent="0.3">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x14ac:dyDescent="0.3">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x14ac:dyDescent="0.3">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x14ac:dyDescent="0.3">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x14ac:dyDescent="0.3">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x14ac:dyDescent="0.3">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x14ac:dyDescent="0.3">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x14ac:dyDescent="0.3">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x14ac:dyDescent="0.3">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x14ac:dyDescent="0.3">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x14ac:dyDescent="0.3">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x14ac:dyDescent="0.3">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x14ac:dyDescent="0.3">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x14ac:dyDescent="0.3">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x14ac:dyDescent="0.3">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x14ac:dyDescent="0.3">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x14ac:dyDescent="0.3">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x14ac:dyDescent="0.3">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x14ac:dyDescent="0.3">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x14ac:dyDescent="0.3">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x14ac:dyDescent="0.3">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x14ac:dyDescent="0.3">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x14ac:dyDescent="0.3">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x14ac:dyDescent="0.3">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x14ac:dyDescent="0.3">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x14ac:dyDescent="0.3">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x14ac:dyDescent="0.3">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x14ac:dyDescent="0.3">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x14ac:dyDescent="0.3">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x14ac:dyDescent="0.3">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x14ac:dyDescent="0.3">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x14ac:dyDescent="0.3">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x14ac:dyDescent="0.3">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x14ac:dyDescent="0.3">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x14ac:dyDescent="0.3">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x14ac:dyDescent="0.3">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x14ac:dyDescent="0.3">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x14ac:dyDescent="0.3">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x14ac:dyDescent="0.3">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x14ac:dyDescent="0.3">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x14ac:dyDescent="0.3">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x14ac:dyDescent="0.3">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x14ac:dyDescent="0.3">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x14ac:dyDescent="0.3">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x14ac:dyDescent="0.3">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x14ac:dyDescent="0.3">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x14ac:dyDescent="0.3">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x14ac:dyDescent="0.3">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x14ac:dyDescent="0.3">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x14ac:dyDescent="0.3">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x14ac:dyDescent="0.3">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x14ac:dyDescent="0.3">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x14ac:dyDescent="0.3">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x14ac:dyDescent="0.3">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x14ac:dyDescent="0.3">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x14ac:dyDescent="0.3">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x14ac:dyDescent="0.3">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x14ac:dyDescent="0.3">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x14ac:dyDescent="0.3">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x14ac:dyDescent="0.3">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x14ac:dyDescent="0.3">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x14ac:dyDescent="0.3">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x14ac:dyDescent="0.3">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x14ac:dyDescent="0.3">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x14ac:dyDescent="0.3">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x14ac:dyDescent="0.3">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x14ac:dyDescent="0.3">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x14ac:dyDescent="0.3">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x14ac:dyDescent="0.3">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x14ac:dyDescent="0.3">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x14ac:dyDescent="0.3">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x14ac:dyDescent="0.3">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x14ac:dyDescent="0.3">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x14ac:dyDescent="0.3">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x14ac:dyDescent="0.3">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x14ac:dyDescent="0.3">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x14ac:dyDescent="0.3">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x14ac:dyDescent="0.3">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x14ac:dyDescent="0.3">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x14ac:dyDescent="0.3">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x14ac:dyDescent="0.3">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x14ac:dyDescent="0.3">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x14ac:dyDescent="0.3">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x14ac:dyDescent="0.3">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x14ac:dyDescent="0.3">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x14ac:dyDescent="0.3">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x14ac:dyDescent="0.3">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x14ac:dyDescent="0.3">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x14ac:dyDescent="0.3">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x14ac:dyDescent="0.3">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x14ac:dyDescent="0.3">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x14ac:dyDescent="0.3">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x14ac:dyDescent="0.3">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x14ac:dyDescent="0.3">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x14ac:dyDescent="0.3">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x14ac:dyDescent="0.3">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x14ac:dyDescent="0.3">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x14ac:dyDescent="0.3">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x14ac:dyDescent="0.3">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x14ac:dyDescent="0.3">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x14ac:dyDescent="0.3">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x14ac:dyDescent="0.3">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x14ac:dyDescent="0.3">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x14ac:dyDescent="0.3">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x14ac:dyDescent="0.3">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x14ac:dyDescent="0.3">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x14ac:dyDescent="0.3">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x14ac:dyDescent="0.3">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x14ac:dyDescent="0.3">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x14ac:dyDescent="0.3">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x14ac:dyDescent="0.3">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x14ac:dyDescent="0.3">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x14ac:dyDescent="0.3">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x14ac:dyDescent="0.3">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x14ac:dyDescent="0.3">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x14ac:dyDescent="0.3">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x14ac:dyDescent="0.3">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x14ac:dyDescent="0.3">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x14ac:dyDescent="0.3">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x14ac:dyDescent="0.3">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x14ac:dyDescent="0.3">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x14ac:dyDescent="0.3">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x14ac:dyDescent="0.3">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x14ac:dyDescent="0.3">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x14ac:dyDescent="0.3">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x14ac:dyDescent="0.3">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x14ac:dyDescent="0.3">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x14ac:dyDescent="0.3">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x14ac:dyDescent="0.3">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x14ac:dyDescent="0.3">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x14ac:dyDescent="0.3">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x14ac:dyDescent="0.3">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x14ac:dyDescent="0.3">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x14ac:dyDescent="0.3">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x14ac:dyDescent="0.3">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x14ac:dyDescent="0.3">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x14ac:dyDescent="0.3">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x14ac:dyDescent="0.3">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x14ac:dyDescent="0.3">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x14ac:dyDescent="0.3">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x14ac:dyDescent="0.3">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x14ac:dyDescent="0.3">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x14ac:dyDescent="0.3">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x14ac:dyDescent="0.3">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x14ac:dyDescent="0.3">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x14ac:dyDescent="0.3">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x14ac:dyDescent="0.3">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x14ac:dyDescent="0.3">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x14ac:dyDescent="0.3">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x14ac:dyDescent="0.3">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x14ac:dyDescent="0.3">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x14ac:dyDescent="0.3">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x14ac:dyDescent="0.3">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x14ac:dyDescent="0.3">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x14ac:dyDescent="0.3">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x14ac:dyDescent="0.3">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x14ac:dyDescent="0.3">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x14ac:dyDescent="0.3">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x14ac:dyDescent="0.3">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x14ac:dyDescent="0.3">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x14ac:dyDescent="0.3">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x14ac:dyDescent="0.3">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x14ac:dyDescent="0.3">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x14ac:dyDescent="0.3">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x14ac:dyDescent="0.3">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x14ac:dyDescent="0.3">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x14ac:dyDescent="0.3">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x14ac:dyDescent="0.3">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x14ac:dyDescent="0.3">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x14ac:dyDescent="0.3">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x14ac:dyDescent="0.3">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x14ac:dyDescent="0.3">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x14ac:dyDescent="0.3">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x14ac:dyDescent="0.3">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x14ac:dyDescent="0.3">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x14ac:dyDescent="0.3">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x14ac:dyDescent="0.3">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x14ac:dyDescent="0.3">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x14ac:dyDescent="0.3">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x14ac:dyDescent="0.3">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x14ac:dyDescent="0.3">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x14ac:dyDescent="0.3">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x14ac:dyDescent="0.3">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x14ac:dyDescent="0.3">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x14ac:dyDescent="0.3">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x14ac:dyDescent="0.3">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x14ac:dyDescent="0.3">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x14ac:dyDescent="0.3">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x14ac:dyDescent="0.3">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x14ac:dyDescent="0.3">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x14ac:dyDescent="0.3">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x14ac:dyDescent="0.3">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x14ac:dyDescent="0.3">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x14ac:dyDescent="0.3">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x14ac:dyDescent="0.3">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x14ac:dyDescent="0.3">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x14ac:dyDescent="0.3">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x14ac:dyDescent="0.3">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x14ac:dyDescent="0.3">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x14ac:dyDescent="0.3">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x14ac:dyDescent="0.3">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x14ac:dyDescent="0.3">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x14ac:dyDescent="0.3">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x14ac:dyDescent="0.3">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x14ac:dyDescent="0.3">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x14ac:dyDescent="0.3">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x14ac:dyDescent="0.3">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x14ac:dyDescent="0.3">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x14ac:dyDescent="0.3">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x14ac:dyDescent="0.3">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x14ac:dyDescent="0.3">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x14ac:dyDescent="0.3">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x14ac:dyDescent="0.3">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x14ac:dyDescent="0.3">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x14ac:dyDescent="0.3">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x14ac:dyDescent="0.3">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x14ac:dyDescent="0.3">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x14ac:dyDescent="0.3">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x14ac:dyDescent="0.3">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x14ac:dyDescent="0.3">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x14ac:dyDescent="0.3">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x14ac:dyDescent="0.3">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x14ac:dyDescent="0.3">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x14ac:dyDescent="0.3">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x14ac:dyDescent="0.3">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x14ac:dyDescent="0.3">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x14ac:dyDescent="0.3">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x14ac:dyDescent="0.3">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x14ac:dyDescent="0.3">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x14ac:dyDescent="0.3">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x14ac:dyDescent="0.3">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x14ac:dyDescent="0.3">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x14ac:dyDescent="0.3">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x14ac:dyDescent="0.3">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x14ac:dyDescent="0.3">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x14ac:dyDescent="0.3">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x14ac:dyDescent="0.3">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x14ac:dyDescent="0.3">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x14ac:dyDescent="0.3">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x14ac:dyDescent="0.3">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x14ac:dyDescent="0.3">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x14ac:dyDescent="0.3">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x14ac:dyDescent="0.3">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x14ac:dyDescent="0.3">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x14ac:dyDescent="0.3">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x14ac:dyDescent="0.3">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x14ac:dyDescent="0.3">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x14ac:dyDescent="0.3">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x14ac:dyDescent="0.3">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x14ac:dyDescent="0.3">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x14ac:dyDescent="0.3">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x14ac:dyDescent="0.3">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x14ac:dyDescent="0.3">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x14ac:dyDescent="0.3">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x14ac:dyDescent="0.3">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x14ac:dyDescent="0.3">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x14ac:dyDescent="0.3">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x14ac:dyDescent="0.3">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x14ac:dyDescent="0.3">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x14ac:dyDescent="0.3">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x14ac:dyDescent="0.3">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x14ac:dyDescent="0.3">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x14ac:dyDescent="0.3">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x14ac:dyDescent="0.3">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x14ac:dyDescent="0.3">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x14ac:dyDescent="0.3">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x14ac:dyDescent="0.3">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x14ac:dyDescent="0.3">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x14ac:dyDescent="0.3">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x14ac:dyDescent="0.3">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x14ac:dyDescent="0.3">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x14ac:dyDescent="0.3">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x14ac:dyDescent="0.3">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x14ac:dyDescent="0.3">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x14ac:dyDescent="0.3">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x14ac:dyDescent="0.3">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x14ac:dyDescent="0.3">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x14ac:dyDescent="0.3">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x14ac:dyDescent="0.3">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x14ac:dyDescent="0.3">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x14ac:dyDescent="0.3">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x14ac:dyDescent="0.3">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x14ac:dyDescent="0.3">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x14ac:dyDescent="0.3">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x14ac:dyDescent="0.3">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x14ac:dyDescent="0.3">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x14ac:dyDescent="0.3">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x14ac:dyDescent="0.3">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x14ac:dyDescent="0.3">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x14ac:dyDescent="0.3">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x14ac:dyDescent="0.3">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x14ac:dyDescent="0.3">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x14ac:dyDescent="0.3">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x14ac:dyDescent="0.3">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x14ac:dyDescent="0.3">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x14ac:dyDescent="0.3">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x14ac:dyDescent="0.3">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x14ac:dyDescent="0.3">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x14ac:dyDescent="0.3">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x14ac:dyDescent="0.3">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x14ac:dyDescent="0.3">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x14ac:dyDescent="0.3">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x14ac:dyDescent="0.3">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x14ac:dyDescent="0.3">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x14ac:dyDescent="0.3">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x14ac:dyDescent="0.3">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x14ac:dyDescent="0.3">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x14ac:dyDescent="0.3">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x14ac:dyDescent="0.3">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x14ac:dyDescent="0.3">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x14ac:dyDescent="0.3">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x14ac:dyDescent="0.3">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x14ac:dyDescent="0.3">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x14ac:dyDescent="0.3">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x14ac:dyDescent="0.3">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x14ac:dyDescent="0.3">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x14ac:dyDescent="0.3">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x14ac:dyDescent="0.3">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x14ac:dyDescent="0.3">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x14ac:dyDescent="0.3">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x14ac:dyDescent="0.3">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x14ac:dyDescent="0.3">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x14ac:dyDescent="0.3">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x14ac:dyDescent="0.3">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x14ac:dyDescent="0.3">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x14ac:dyDescent="0.3">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x14ac:dyDescent="0.3">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x14ac:dyDescent="0.3">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x14ac:dyDescent="0.3">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x14ac:dyDescent="0.3">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x14ac:dyDescent="0.3">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x14ac:dyDescent="0.3">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x14ac:dyDescent="0.3">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x14ac:dyDescent="0.3">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x14ac:dyDescent="0.3">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x14ac:dyDescent="0.3">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x14ac:dyDescent="0.3">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x14ac:dyDescent="0.3">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x14ac:dyDescent="0.3">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x14ac:dyDescent="0.3">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x14ac:dyDescent="0.3">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x14ac:dyDescent="0.3">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x14ac:dyDescent="0.3">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x14ac:dyDescent="0.3">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x14ac:dyDescent="0.3">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x14ac:dyDescent="0.3">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x14ac:dyDescent="0.3">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x14ac:dyDescent="0.3">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x14ac:dyDescent="0.3">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x14ac:dyDescent="0.3">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x14ac:dyDescent="0.3">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x14ac:dyDescent="0.3">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x14ac:dyDescent="0.3">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x14ac:dyDescent="0.3">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x14ac:dyDescent="0.3">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x14ac:dyDescent="0.3">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x14ac:dyDescent="0.3">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x14ac:dyDescent="0.3">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x14ac:dyDescent="0.3">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x14ac:dyDescent="0.3">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x14ac:dyDescent="0.3">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x14ac:dyDescent="0.3">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x14ac:dyDescent="0.3">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x14ac:dyDescent="0.3">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x14ac:dyDescent="0.3">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x14ac:dyDescent="0.3">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x14ac:dyDescent="0.3">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x14ac:dyDescent="0.3">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x14ac:dyDescent="0.3">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x14ac:dyDescent="0.3">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x14ac:dyDescent="0.3">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x14ac:dyDescent="0.3">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x14ac:dyDescent="0.3">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x14ac:dyDescent="0.3">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x14ac:dyDescent="0.3">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x14ac:dyDescent="0.3">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x14ac:dyDescent="0.3">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x14ac:dyDescent="0.3">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x14ac:dyDescent="0.3">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x14ac:dyDescent="0.3">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x14ac:dyDescent="0.3">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x14ac:dyDescent="0.3">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x14ac:dyDescent="0.3">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x14ac:dyDescent="0.3">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x14ac:dyDescent="0.3">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x14ac:dyDescent="0.3">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x14ac:dyDescent="0.3">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x14ac:dyDescent="0.3">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x14ac:dyDescent="0.3">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x14ac:dyDescent="0.3">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x14ac:dyDescent="0.3">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x14ac:dyDescent="0.3">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x14ac:dyDescent="0.3">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x14ac:dyDescent="0.3">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x14ac:dyDescent="0.3">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x14ac:dyDescent="0.3">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x14ac:dyDescent="0.3">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x14ac:dyDescent="0.3">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x14ac:dyDescent="0.3">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x14ac:dyDescent="0.3">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x14ac:dyDescent="0.3">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x14ac:dyDescent="0.3">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x14ac:dyDescent="0.3">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x14ac:dyDescent="0.3">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x14ac:dyDescent="0.3">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x14ac:dyDescent="0.3">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x14ac:dyDescent="0.3">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x14ac:dyDescent="0.3">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x14ac:dyDescent="0.3">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x14ac:dyDescent="0.3">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x14ac:dyDescent="0.3">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x14ac:dyDescent="0.3">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x14ac:dyDescent="0.3">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x14ac:dyDescent="0.3">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x14ac:dyDescent="0.3">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x14ac:dyDescent="0.3">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x14ac:dyDescent="0.3">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x14ac:dyDescent="0.3">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x14ac:dyDescent="0.3">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x14ac:dyDescent="0.3">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x14ac:dyDescent="0.3">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x14ac:dyDescent="0.3">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x14ac:dyDescent="0.3">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x14ac:dyDescent="0.3">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x14ac:dyDescent="0.3">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x14ac:dyDescent="0.3">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x14ac:dyDescent="0.3">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x14ac:dyDescent="0.3">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x14ac:dyDescent="0.3">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x14ac:dyDescent="0.3">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x14ac:dyDescent="0.3">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x14ac:dyDescent="0.3">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x14ac:dyDescent="0.3">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x14ac:dyDescent="0.3">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x14ac:dyDescent="0.3">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x14ac:dyDescent="0.3">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x14ac:dyDescent="0.3">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x14ac:dyDescent="0.3">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x14ac:dyDescent="0.3">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x14ac:dyDescent="0.3">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x14ac:dyDescent="0.3">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x14ac:dyDescent="0.3">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x14ac:dyDescent="0.3">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x14ac:dyDescent="0.3">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x14ac:dyDescent="0.3">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x14ac:dyDescent="0.3">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x14ac:dyDescent="0.3">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x14ac:dyDescent="0.3">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x14ac:dyDescent="0.3">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x14ac:dyDescent="0.3">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x14ac:dyDescent="0.3">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x14ac:dyDescent="0.3">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x14ac:dyDescent="0.3">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x14ac:dyDescent="0.3">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x14ac:dyDescent="0.3">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x14ac:dyDescent="0.3">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x14ac:dyDescent="0.3">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x14ac:dyDescent="0.3">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x14ac:dyDescent="0.3">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x14ac:dyDescent="0.3">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x14ac:dyDescent="0.3">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x14ac:dyDescent="0.3">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x14ac:dyDescent="0.3">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x14ac:dyDescent="0.3">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x14ac:dyDescent="0.3">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x14ac:dyDescent="0.3">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x14ac:dyDescent="0.3">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x14ac:dyDescent="0.3">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x14ac:dyDescent="0.3">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x14ac:dyDescent="0.3">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x14ac:dyDescent="0.3">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x14ac:dyDescent="0.3">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x14ac:dyDescent="0.3">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x14ac:dyDescent="0.3">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x14ac:dyDescent="0.3">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x14ac:dyDescent="0.3">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x14ac:dyDescent="0.3">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x14ac:dyDescent="0.3">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x14ac:dyDescent="0.3">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x14ac:dyDescent="0.3">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x14ac:dyDescent="0.3">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x14ac:dyDescent="0.3">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x14ac:dyDescent="0.3">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x14ac:dyDescent="0.3">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x14ac:dyDescent="0.3">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x14ac:dyDescent="0.3">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x14ac:dyDescent="0.3">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x14ac:dyDescent="0.3">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x14ac:dyDescent="0.3">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x14ac:dyDescent="0.3">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x14ac:dyDescent="0.3">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x14ac:dyDescent="0.3">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x14ac:dyDescent="0.3">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x14ac:dyDescent="0.3">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x14ac:dyDescent="0.3">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x14ac:dyDescent="0.3">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x14ac:dyDescent="0.3">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x14ac:dyDescent="0.3">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x14ac:dyDescent="0.3">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x14ac:dyDescent="0.3">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x14ac:dyDescent="0.3">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x14ac:dyDescent="0.3">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x14ac:dyDescent="0.3">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x14ac:dyDescent="0.3">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x14ac:dyDescent="0.3">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x14ac:dyDescent="0.3">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x14ac:dyDescent="0.3">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x14ac:dyDescent="0.3">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x14ac:dyDescent="0.3">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x14ac:dyDescent="0.3">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x14ac:dyDescent="0.3">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x14ac:dyDescent="0.3">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x14ac:dyDescent="0.3">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x14ac:dyDescent="0.3">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x14ac:dyDescent="0.3">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x14ac:dyDescent="0.3">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x14ac:dyDescent="0.3">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x14ac:dyDescent="0.3">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x14ac:dyDescent="0.3">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x14ac:dyDescent="0.3">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x14ac:dyDescent="0.3">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x14ac:dyDescent="0.3">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x14ac:dyDescent="0.3">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x14ac:dyDescent="0.3">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x14ac:dyDescent="0.3">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x14ac:dyDescent="0.3">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x14ac:dyDescent="0.3">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x14ac:dyDescent="0.3">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x14ac:dyDescent="0.3">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x14ac:dyDescent="0.3">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x14ac:dyDescent="0.3">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x14ac:dyDescent="0.3">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x14ac:dyDescent="0.3">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x14ac:dyDescent="0.3">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x14ac:dyDescent="0.3">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x14ac:dyDescent="0.3">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x14ac:dyDescent="0.3">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x14ac:dyDescent="0.3">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x14ac:dyDescent="0.3">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x14ac:dyDescent="0.3">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x14ac:dyDescent="0.3">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x14ac:dyDescent="0.3">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x14ac:dyDescent="0.3">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x14ac:dyDescent="0.3">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x14ac:dyDescent="0.3">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x14ac:dyDescent="0.3">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x14ac:dyDescent="0.3">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x14ac:dyDescent="0.3">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x14ac:dyDescent="0.3">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x14ac:dyDescent="0.3">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x14ac:dyDescent="0.3">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x14ac:dyDescent="0.3">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x14ac:dyDescent="0.3">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x14ac:dyDescent="0.3">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x14ac:dyDescent="0.3">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x14ac:dyDescent="0.3">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x14ac:dyDescent="0.3">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x14ac:dyDescent="0.3">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x14ac:dyDescent="0.3">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x14ac:dyDescent="0.3">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x14ac:dyDescent="0.3">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x14ac:dyDescent="0.3">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x14ac:dyDescent="0.3">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x14ac:dyDescent="0.3">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x14ac:dyDescent="0.3">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x14ac:dyDescent="0.3">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x14ac:dyDescent="0.3">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x14ac:dyDescent="0.3">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x14ac:dyDescent="0.3">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x14ac:dyDescent="0.3">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x14ac:dyDescent="0.3">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x14ac:dyDescent="0.3">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x14ac:dyDescent="0.3">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x14ac:dyDescent="0.3">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x14ac:dyDescent="0.3">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x14ac:dyDescent="0.3">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x14ac:dyDescent="0.3">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x14ac:dyDescent="0.3">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x14ac:dyDescent="0.3">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x14ac:dyDescent="0.3">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x14ac:dyDescent="0.3">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x14ac:dyDescent="0.3">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x14ac:dyDescent="0.3">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x14ac:dyDescent="0.3">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x14ac:dyDescent="0.3">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x14ac:dyDescent="0.3">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x14ac:dyDescent="0.3">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x14ac:dyDescent="0.3">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x14ac:dyDescent="0.3">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x14ac:dyDescent="0.3">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x14ac:dyDescent="0.3">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x14ac:dyDescent="0.3">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x14ac:dyDescent="0.3">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x14ac:dyDescent="0.3">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x14ac:dyDescent="0.3">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x14ac:dyDescent="0.3">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x14ac:dyDescent="0.3">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x14ac:dyDescent="0.3">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x14ac:dyDescent="0.3">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x14ac:dyDescent="0.3">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x14ac:dyDescent="0.3">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x14ac:dyDescent="0.3">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x14ac:dyDescent="0.3">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x14ac:dyDescent="0.3">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x14ac:dyDescent="0.3">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x14ac:dyDescent="0.3">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x14ac:dyDescent="0.3">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x14ac:dyDescent="0.3">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x14ac:dyDescent="0.3">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x14ac:dyDescent="0.3">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x14ac:dyDescent="0.3">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x14ac:dyDescent="0.3">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x14ac:dyDescent="0.3">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x14ac:dyDescent="0.3">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x14ac:dyDescent="0.3">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x14ac:dyDescent="0.3">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x14ac:dyDescent="0.3">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x14ac:dyDescent="0.3">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x14ac:dyDescent="0.3">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x14ac:dyDescent="0.3">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x14ac:dyDescent="0.3">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x14ac:dyDescent="0.3">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x14ac:dyDescent="0.3">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x14ac:dyDescent="0.3">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x14ac:dyDescent="0.3">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x14ac:dyDescent="0.3">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x14ac:dyDescent="0.3">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x14ac:dyDescent="0.3">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x14ac:dyDescent="0.3">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x14ac:dyDescent="0.3">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x14ac:dyDescent="0.3">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x14ac:dyDescent="0.3">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x14ac:dyDescent="0.3">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x14ac:dyDescent="0.3">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x14ac:dyDescent="0.3">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x14ac:dyDescent="0.3">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x14ac:dyDescent="0.3">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x14ac:dyDescent="0.3">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x14ac:dyDescent="0.3">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x14ac:dyDescent="0.3">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x14ac:dyDescent="0.3">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x14ac:dyDescent="0.3">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x14ac:dyDescent="0.3">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x14ac:dyDescent="0.3">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x14ac:dyDescent="0.3">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x14ac:dyDescent="0.3">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x14ac:dyDescent="0.3">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x14ac:dyDescent="0.3">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x14ac:dyDescent="0.3">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x14ac:dyDescent="0.3">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x14ac:dyDescent="0.3">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x14ac:dyDescent="0.3">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x14ac:dyDescent="0.3">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x14ac:dyDescent="0.3">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x14ac:dyDescent="0.3">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x14ac:dyDescent="0.3">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x14ac:dyDescent="0.3">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x14ac:dyDescent="0.3">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x14ac:dyDescent="0.3">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x14ac:dyDescent="0.3">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x14ac:dyDescent="0.3">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x14ac:dyDescent="0.3">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x14ac:dyDescent="0.3">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x14ac:dyDescent="0.3">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x14ac:dyDescent="0.3">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x14ac:dyDescent="0.3">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x14ac:dyDescent="0.3">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x14ac:dyDescent="0.3">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x14ac:dyDescent="0.3">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x14ac:dyDescent="0.3">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x14ac:dyDescent="0.3">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x14ac:dyDescent="0.3">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x14ac:dyDescent="0.3">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x14ac:dyDescent="0.3">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x14ac:dyDescent="0.3">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x14ac:dyDescent="0.3">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x14ac:dyDescent="0.3">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x14ac:dyDescent="0.3">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x14ac:dyDescent="0.3">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x14ac:dyDescent="0.3">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x14ac:dyDescent="0.3">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x14ac:dyDescent="0.3">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x14ac:dyDescent="0.3">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x14ac:dyDescent="0.3">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x14ac:dyDescent="0.3">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x14ac:dyDescent="0.3">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x14ac:dyDescent="0.3">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x14ac:dyDescent="0.3">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x14ac:dyDescent="0.3">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x14ac:dyDescent="0.3">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x14ac:dyDescent="0.3">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x14ac:dyDescent="0.3">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x14ac:dyDescent="0.3">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x14ac:dyDescent="0.3">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x14ac:dyDescent="0.3">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x14ac:dyDescent="0.3">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x14ac:dyDescent="0.3">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x14ac:dyDescent="0.3">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x14ac:dyDescent="0.3">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x14ac:dyDescent="0.3">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x14ac:dyDescent="0.3">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x14ac:dyDescent="0.3">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x14ac:dyDescent="0.3">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x14ac:dyDescent="0.3">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x14ac:dyDescent="0.3">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x14ac:dyDescent="0.3">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x14ac:dyDescent="0.3">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x14ac:dyDescent="0.3">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x14ac:dyDescent="0.3">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x14ac:dyDescent="0.3">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x14ac:dyDescent="0.3">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x14ac:dyDescent="0.3">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x14ac:dyDescent="0.3">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x14ac:dyDescent="0.3">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x14ac:dyDescent="0.3">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x14ac:dyDescent="0.3">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x14ac:dyDescent="0.3">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x14ac:dyDescent="0.3">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x14ac:dyDescent="0.3">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x14ac:dyDescent="0.3">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x14ac:dyDescent="0.3">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x14ac:dyDescent="0.3">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x14ac:dyDescent="0.3">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x14ac:dyDescent="0.3">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x14ac:dyDescent="0.3">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x14ac:dyDescent="0.3">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x14ac:dyDescent="0.3">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x14ac:dyDescent="0.3">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x14ac:dyDescent="0.3">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x14ac:dyDescent="0.3">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x14ac:dyDescent="0.3">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x14ac:dyDescent="0.3">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x14ac:dyDescent="0.3">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x14ac:dyDescent="0.3">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x14ac:dyDescent="0.3">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x14ac:dyDescent="0.3">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x14ac:dyDescent="0.3">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x14ac:dyDescent="0.3">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x14ac:dyDescent="0.3">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x14ac:dyDescent="0.3">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x14ac:dyDescent="0.3">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x14ac:dyDescent="0.3">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x14ac:dyDescent="0.3">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x14ac:dyDescent="0.3">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x14ac:dyDescent="0.3">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x14ac:dyDescent="0.3">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x14ac:dyDescent="0.3">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x14ac:dyDescent="0.3">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x14ac:dyDescent="0.3">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x14ac:dyDescent="0.3">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x14ac:dyDescent="0.3">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x14ac:dyDescent="0.3">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x14ac:dyDescent="0.3">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x14ac:dyDescent="0.3">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x14ac:dyDescent="0.3">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x14ac:dyDescent="0.3">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x14ac:dyDescent="0.3">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x14ac:dyDescent="0.3">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x14ac:dyDescent="0.3">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x14ac:dyDescent="0.3">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x14ac:dyDescent="0.3">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x14ac:dyDescent="0.3">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x14ac:dyDescent="0.3">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x14ac:dyDescent="0.3">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x14ac:dyDescent="0.3">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x14ac:dyDescent="0.3">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x14ac:dyDescent="0.3">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x14ac:dyDescent="0.3">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x14ac:dyDescent="0.3">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x14ac:dyDescent="0.3">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x14ac:dyDescent="0.3">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x14ac:dyDescent="0.3">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x14ac:dyDescent="0.3">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x14ac:dyDescent="0.3">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x14ac:dyDescent="0.3">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x14ac:dyDescent="0.3">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x14ac:dyDescent="0.3">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x14ac:dyDescent="0.3">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x14ac:dyDescent="0.3">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x14ac:dyDescent="0.3">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x14ac:dyDescent="0.3">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x14ac:dyDescent="0.3">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x14ac:dyDescent="0.3">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x14ac:dyDescent="0.3">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x14ac:dyDescent="0.3">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x14ac:dyDescent="0.3">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x14ac:dyDescent="0.3">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x14ac:dyDescent="0.3">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x14ac:dyDescent="0.3">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x14ac:dyDescent="0.3">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x14ac:dyDescent="0.3">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x14ac:dyDescent="0.3">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x14ac:dyDescent="0.3">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x14ac:dyDescent="0.3">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x14ac:dyDescent="0.3">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x14ac:dyDescent="0.3">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x14ac:dyDescent="0.3">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x14ac:dyDescent="0.3">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x14ac:dyDescent="0.3">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x14ac:dyDescent="0.3">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x14ac:dyDescent="0.3">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x14ac:dyDescent="0.3">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x14ac:dyDescent="0.3">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x14ac:dyDescent="0.3">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x14ac:dyDescent="0.3">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x14ac:dyDescent="0.3">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x14ac:dyDescent="0.3">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x14ac:dyDescent="0.3">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x14ac:dyDescent="0.3">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x14ac:dyDescent="0.3">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x14ac:dyDescent="0.3">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x14ac:dyDescent="0.3">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x14ac:dyDescent="0.3">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x14ac:dyDescent="0.3">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x14ac:dyDescent="0.3">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x14ac:dyDescent="0.3">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x14ac:dyDescent="0.3">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x14ac:dyDescent="0.3">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x14ac:dyDescent="0.3">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x14ac:dyDescent="0.3">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x14ac:dyDescent="0.3">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x14ac:dyDescent="0.3">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x14ac:dyDescent="0.3">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x14ac:dyDescent="0.3">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x14ac:dyDescent="0.3">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x14ac:dyDescent="0.3">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x14ac:dyDescent="0.3">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x14ac:dyDescent="0.3">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x14ac:dyDescent="0.3">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x14ac:dyDescent="0.3">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x14ac:dyDescent="0.3">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x14ac:dyDescent="0.3">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x14ac:dyDescent="0.3">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x14ac:dyDescent="0.3">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x14ac:dyDescent="0.3">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x14ac:dyDescent="0.3">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x14ac:dyDescent="0.3">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x14ac:dyDescent="0.3">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x14ac:dyDescent="0.3">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x14ac:dyDescent="0.3">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x14ac:dyDescent="0.3">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x14ac:dyDescent="0.3">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x14ac:dyDescent="0.3">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x14ac:dyDescent="0.3">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x14ac:dyDescent="0.3">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x14ac:dyDescent="0.3">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x14ac:dyDescent="0.3">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x14ac:dyDescent="0.3">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x14ac:dyDescent="0.3">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x14ac:dyDescent="0.3">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x14ac:dyDescent="0.3">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x14ac:dyDescent="0.3">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x14ac:dyDescent="0.3">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x14ac:dyDescent="0.3">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x14ac:dyDescent="0.3">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x14ac:dyDescent="0.3">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x14ac:dyDescent="0.3">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x14ac:dyDescent="0.3">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x14ac:dyDescent="0.3">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x14ac:dyDescent="0.3">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x14ac:dyDescent="0.3">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x14ac:dyDescent="0.3">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x14ac:dyDescent="0.3">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x14ac:dyDescent="0.3">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x14ac:dyDescent="0.3">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x14ac:dyDescent="0.3">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x14ac:dyDescent="0.3">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x14ac:dyDescent="0.3">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x14ac:dyDescent="0.3">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x14ac:dyDescent="0.3">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x14ac:dyDescent="0.3">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x14ac:dyDescent="0.3">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x14ac:dyDescent="0.3">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x14ac:dyDescent="0.3">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x14ac:dyDescent="0.3">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x14ac:dyDescent="0.3">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x14ac:dyDescent="0.3">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x14ac:dyDescent="0.3">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x14ac:dyDescent="0.3">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x14ac:dyDescent="0.3">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x14ac:dyDescent="0.3">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x14ac:dyDescent="0.3">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x14ac:dyDescent="0.3">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x14ac:dyDescent="0.3">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x14ac:dyDescent="0.3">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x14ac:dyDescent="0.3">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x14ac:dyDescent="0.3">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x14ac:dyDescent="0.3">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x14ac:dyDescent="0.3">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x14ac:dyDescent="0.3">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x14ac:dyDescent="0.3">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x14ac:dyDescent="0.3">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x14ac:dyDescent="0.3">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x14ac:dyDescent="0.3">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x14ac:dyDescent="0.3">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x14ac:dyDescent="0.3">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x14ac:dyDescent="0.3">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x14ac:dyDescent="0.3">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x14ac:dyDescent="0.3">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x14ac:dyDescent="0.3">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x14ac:dyDescent="0.3">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x14ac:dyDescent="0.3">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x14ac:dyDescent="0.3">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x14ac:dyDescent="0.3">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x14ac:dyDescent="0.3">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x14ac:dyDescent="0.3">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x14ac:dyDescent="0.3">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x14ac:dyDescent="0.3">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x14ac:dyDescent="0.3">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x14ac:dyDescent="0.3">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x14ac:dyDescent="0.3">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x14ac:dyDescent="0.3">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x14ac:dyDescent="0.3">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x14ac:dyDescent="0.3">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x14ac:dyDescent="0.3">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x14ac:dyDescent="0.3">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x14ac:dyDescent="0.3">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x14ac:dyDescent="0.3">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x14ac:dyDescent="0.3">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x14ac:dyDescent="0.3">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x14ac:dyDescent="0.3">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x14ac:dyDescent="0.3">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x14ac:dyDescent="0.3">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x14ac:dyDescent="0.3">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x14ac:dyDescent="0.3">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x14ac:dyDescent="0.3">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x14ac:dyDescent="0.3">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x14ac:dyDescent="0.3">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x14ac:dyDescent="0.3">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x14ac:dyDescent="0.3">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x14ac:dyDescent="0.3">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x14ac:dyDescent="0.3">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x14ac:dyDescent="0.3">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x14ac:dyDescent="0.3">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x14ac:dyDescent="0.3">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x14ac:dyDescent="0.3">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x14ac:dyDescent="0.3">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x14ac:dyDescent="0.3">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x14ac:dyDescent="0.3">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x14ac:dyDescent="0.3">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x14ac:dyDescent="0.3">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x14ac:dyDescent="0.3">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x14ac:dyDescent="0.3">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x14ac:dyDescent="0.3">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x14ac:dyDescent="0.3">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x14ac:dyDescent="0.3">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x14ac:dyDescent="0.3">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x14ac:dyDescent="0.3">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x14ac:dyDescent="0.3">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x14ac:dyDescent="0.3">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x14ac:dyDescent="0.3">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x14ac:dyDescent="0.3">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x14ac:dyDescent="0.3">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x14ac:dyDescent="0.3">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x14ac:dyDescent="0.3">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x14ac:dyDescent="0.3">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x14ac:dyDescent="0.3">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x14ac:dyDescent="0.3">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x14ac:dyDescent="0.3">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x14ac:dyDescent="0.3">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x14ac:dyDescent="0.3">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x14ac:dyDescent="0.3">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x14ac:dyDescent="0.3">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x14ac:dyDescent="0.3">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x14ac:dyDescent="0.3">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x14ac:dyDescent="0.3">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x14ac:dyDescent="0.3">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x14ac:dyDescent="0.3">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x14ac:dyDescent="0.3">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x14ac:dyDescent="0.3">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x14ac:dyDescent="0.3">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x14ac:dyDescent="0.3">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x14ac:dyDescent="0.3">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x14ac:dyDescent="0.3">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x14ac:dyDescent="0.3">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x14ac:dyDescent="0.3">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x14ac:dyDescent="0.3">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x14ac:dyDescent="0.3">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x14ac:dyDescent="0.3">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x14ac:dyDescent="0.3">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x14ac:dyDescent="0.3">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x14ac:dyDescent="0.3">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x14ac:dyDescent="0.3">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x14ac:dyDescent="0.3">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x14ac:dyDescent="0.3">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x14ac:dyDescent="0.3">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x14ac:dyDescent="0.3">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x14ac:dyDescent="0.3">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x14ac:dyDescent="0.3">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x14ac:dyDescent="0.3">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x14ac:dyDescent="0.3">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x14ac:dyDescent="0.3">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x14ac:dyDescent="0.3">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x14ac:dyDescent="0.3">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x14ac:dyDescent="0.3">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x14ac:dyDescent="0.3">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x14ac:dyDescent="0.3">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x14ac:dyDescent="0.3">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x14ac:dyDescent="0.3">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x14ac:dyDescent="0.3">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x14ac:dyDescent="0.3">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x14ac:dyDescent="0.3">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x14ac:dyDescent="0.3">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x14ac:dyDescent="0.3">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x14ac:dyDescent="0.3">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x14ac:dyDescent="0.3">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x14ac:dyDescent="0.3">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x14ac:dyDescent="0.3">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x14ac:dyDescent="0.3">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x14ac:dyDescent="0.3">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x14ac:dyDescent="0.3">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x14ac:dyDescent="0.3">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x14ac:dyDescent="0.3">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x14ac:dyDescent="0.3">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x14ac:dyDescent="0.3">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x14ac:dyDescent="0.3">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x14ac:dyDescent="0.3">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x14ac:dyDescent="0.3">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x14ac:dyDescent="0.3">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x14ac:dyDescent="0.3">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x14ac:dyDescent="0.3">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x14ac:dyDescent="0.3">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x14ac:dyDescent="0.3">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x14ac:dyDescent="0.3">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x14ac:dyDescent="0.3">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x14ac:dyDescent="0.3">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x14ac:dyDescent="0.3">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x14ac:dyDescent="0.3">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x14ac:dyDescent="0.3">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x14ac:dyDescent="0.3">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x14ac:dyDescent="0.3">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x14ac:dyDescent="0.3">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x14ac:dyDescent="0.3">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x14ac:dyDescent="0.3">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x14ac:dyDescent="0.3">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x14ac:dyDescent="0.3">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x14ac:dyDescent="0.3">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x14ac:dyDescent="0.3">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x14ac:dyDescent="0.3">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x14ac:dyDescent="0.3">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x14ac:dyDescent="0.3">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x14ac:dyDescent="0.3">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x14ac:dyDescent="0.3">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x14ac:dyDescent="0.3">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x14ac:dyDescent="0.3">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x14ac:dyDescent="0.3">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x14ac:dyDescent="0.3">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x14ac:dyDescent="0.3">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x14ac:dyDescent="0.3">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x14ac:dyDescent="0.3">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x14ac:dyDescent="0.3">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x14ac:dyDescent="0.3">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x14ac:dyDescent="0.3">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x14ac:dyDescent="0.3">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x14ac:dyDescent="0.3">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x14ac:dyDescent="0.3">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x14ac:dyDescent="0.3">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x14ac:dyDescent="0.3">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x14ac:dyDescent="0.3">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x14ac:dyDescent="0.3">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x14ac:dyDescent="0.3">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x14ac:dyDescent="0.3">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x14ac:dyDescent="0.3">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x14ac:dyDescent="0.3">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x14ac:dyDescent="0.3">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x14ac:dyDescent="0.3">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x14ac:dyDescent="0.3">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x14ac:dyDescent="0.3">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x14ac:dyDescent="0.3">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x14ac:dyDescent="0.3">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x14ac:dyDescent="0.3">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x14ac:dyDescent="0.3">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x14ac:dyDescent="0.3">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x14ac:dyDescent="0.3">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x14ac:dyDescent="0.3">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x14ac:dyDescent="0.3">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x14ac:dyDescent="0.3">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x14ac:dyDescent="0.3">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x14ac:dyDescent="0.3">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x14ac:dyDescent="0.3">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x14ac:dyDescent="0.3">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x14ac:dyDescent="0.3">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x14ac:dyDescent="0.3">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x14ac:dyDescent="0.3">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x14ac:dyDescent="0.3">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x14ac:dyDescent="0.3">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x14ac:dyDescent="0.3">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x14ac:dyDescent="0.3">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x14ac:dyDescent="0.3">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x14ac:dyDescent="0.3">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x14ac:dyDescent="0.3">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x14ac:dyDescent="0.3">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x14ac:dyDescent="0.3">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x14ac:dyDescent="0.3">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x14ac:dyDescent="0.3">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x14ac:dyDescent="0.3">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x14ac:dyDescent="0.3">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x14ac:dyDescent="0.3">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x14ac:dyDescent="0.3">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x14ac:dyDescent="0.3">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x14ac:dyDescent="0.3">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x14ac:dyDescent="0.3">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x14ac:dyDescent="0.3">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x14ac:dyDescent="0.3">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x14ac:dyDescent="0.3">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x14ac:dyDescent="0.3">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x14ac:dyDescent="0.3">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x14ac:dyDescent="0.3">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x14ac:dyDescent="0.3">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x14ac:dyDescent="0.3">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x14ac:dyDescent="0.3">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x14ac:dyDescent="0.3">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x14ac:dyDescent="0.3">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x14ac:dyDescent="0.3">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x14ac:dyDescent="0.3">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x14ac:dyDescent="0.3">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x14ac:dyDescent="0.3">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x14ac:dyDescent="0.3">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x14ac:dyDescent="0.3">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x14ac:dyDescent="0.3">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x14ac:dyDescent="0.3">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x14ac:dyDescent="0.3">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x14ac:dyDescent="0.3">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x14ac:dyDescent="0.3">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x14ac:dyDescent="0.3">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x14ac:dyDescent="0.3">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x14ac:dyDescent="0.3">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x14ac:dyDescent="0.3">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x14ac:dyDescent="0.3">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x14ac:dyDescent="0.3">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x14ac:dyDescent="0.3">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x14ac:dyDescent="0.3">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x14ac:dyDescent="0.3">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x14ac:dyDescent="0.3">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x14ac:dyDescent="0.3">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x14ac:dyDescent="0.3">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x14ac:dyDescent="0.3">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x14ac:dyDescent="0.3">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x14ac:dyDescent="0.3">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x14ac:dyDescent="0.3">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x14ac:dyDescent="0.3">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x14ac:dyDescent="0.3">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x14ac:dyDescent="0.3">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x14ac:dyDescent="0.3">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x14ac:dyDescent="0.3">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x14ac:dyDescent="0.3">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x14ac:dyDescent="0.3">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x14ac:dyDescent="0.3">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x14ac:dyDescent="0.3">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x14ac:dyDescent="0.3">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x14ac:dyDescent="0.3">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x14ac:dyDescent="0.3">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x14ac:dyDescent="0.3">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x14ac:dyDescent="0.3">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x14ac:dyDescent="0.3">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x14ac:dyDescent="0.3">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x14ac:dyDescent="0.3">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x14ac:dyDescent="0.3">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x14ac:dyDescent="0.3">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x14ac:dyDescent="0.3">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x14ac:dyDescent="0.3">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x14ac:dyDescent="0.3">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x14ac:dyDescent="0.3">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x14ac:dyDescent="0.3">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x14ac:dyDescent="0.3">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x14ac:dyDescent="0.3">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x14ac:dyDescent="0.3">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x14ac:dyDescent="0.3">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x14ac:dyDescent="0.3">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x14ac:dyDescent="0.3">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x14ac:dyDescent="0.3">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x14ac:dyDescent="0.3">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x14ac:dyDescent="0.3">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x14ac:dyDescent="0.3">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x14ac:dyDescent="0.3">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x14ac:dyDescent="0.3">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x14ac:dyDescent="0.3">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x14ac:dyDescent="0.3">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x14ac:dyDescent="0.3">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x14ac:dyDescent="0.3">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x14ac:dyDescent="0.3">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x14ac:dyDescent="0.3">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x14ac:dyDescent="0.3">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x14ac:dyDescent="0.3">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x14ac:dyDescent="0.3">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x14ac:dyDescent="0.3">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x14ac:dyDescent="0.3">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x14ac:dyDescent="0.3">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x14ac:dyDescent="0.3">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x14ac:dyDescent="0.3">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x14ac:dyDescent="0.3">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x14ac:dyDescent="0.3">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x14ac:dyDescent="0.3">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x14ac:dyDescent="0.3">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x14ac:dyDescent="0.3">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x14ac:dyDescent="0.3">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x14ac:dyDescent="0.3">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x14ac:dyDescent="0.3">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x14ac:dyDescent="0.3">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x14ac:dyDescent="0.3">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x14ac:dyDescent="0.3">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x14ac:dyDescent="0.3">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x14ac:dyDescent="0.3">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x14ac:dyDescent="0.3">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x14ac:dyDescent="0.3">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x14ac:dyDescent="0.3">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x14ac:dyDescent="0.3">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x14ac:dyDescent="0.3">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x14ac:dyDescent="0.3">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x14ac:dyDescent="0.3">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x14ac:dyDescent="0.3">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x14ac:dyDescent="0.3">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x14ac:dyDescent="0.3">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x14ac:dyDescent="0.3">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x14ac:dyDescent="0.3">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x14ac:dyDescent="0.3">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x14ac:dyDescent="0.3">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x14ac:dyDescent="0.3">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x14ac:dyDescent="0.3">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x14ac:dyDescent="0.3">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x14ac:dyDescent="0.3">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x14ac:dyDescent="0.3">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x14ac:dyDescent="0.3">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x14ac:dyDescent="0.3">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x14ac:dyDescent="0.3">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x14ac:dyDescent="0.3">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x14ac:dyDescent="0.3">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x14ac:dyDescent="0.3">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x14ac:dyDescent="0.3">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x14ac:dyDescent="0.3">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x14ac:dyDescent="0.3">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x14ac:dyDescent="0.3">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x14ac:dyDescent="0.3">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x14ac:dyDescent="0.3">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x14ac:dyDescent="0.3">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x14ac:dyDescent="0.3">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x14ac:dyDescent="0.3">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x14ac:dyDescent="0.3">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x14ac:dyDescent="0.3">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x14ac:dyDescent="0.3">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x14ac:dyDescent="0.3">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x14ac:dyDescent="0.3">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x14ac:dyDescent="0.3">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x14ac:dyDescent="0.3">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x14ac:dyDescent="0.3">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x14ac:dyDescent="0.3">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x14ac:dyDescent="0.3">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x14ac:dyDescent="0.3">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x14ac:dyDescent="0.3">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x14ac:dyDescent="0.3">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x14ac:dyDescent="0.3">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x14ac:dyDescent="0.3">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x14ac:dyDescent="0.3">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x14ac:dyDescent="0.3">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x14ac:dyDescent="0.3">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x14ac:dyDescent="0.3">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x14ac:dyDescent="0.3">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x14ac:dyDescent="0.3">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x14ac:dyDescent="0.3">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x14ac:dyDescent="0.3">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x14ac:dyDescent="0.3">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x14ac:dyDescent="0.3">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x14ac:dyDescent="0.3">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x14ac:dyDescent="0.3">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x14ac:dyDescent="0.3">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x14ac:dyDescent="0.3">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x14ac:dyDescent="0.3">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x14ac:dyDescent="0.3">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x14ac:dyDescent="0.3">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x14ac:dyDescent="0.3">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x14ac:dyDescent="0.3">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x14ac:dyDescent="0.3">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x14ac:dyDescent="0.3">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x14ac:dyDescent="0.3">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x14ac:dyDescent="0.3">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x14ac:dyDescent="0.3">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x14ac:dyDescent="0.3">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x14ac:dyDescent="0.3">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x14ac:dyDescent="0.3">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x14ac:dyDescent="0.3">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x14ac:dyDescent="0.3">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x14ac:dyDescent="0.3">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x14ac:dyDescent="0.3">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x14ac:dyDescent="0.3">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x14ac:dyDescent="0.3">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x14ac:dyDescent="0.3">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x14ac:dyDescent="0.3">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x14ac:dyDescent="0.3">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x14ac:dyDescent="0.3">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x14ac:dyDescent="0.3">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x14ac:dyDescent="0.3">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x14ac:dyDescent="0.3">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x14ac:dyDescent="0.3">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x14ac:dyDescent="0.3">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x14ac:dyDescent="0.3">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x14ac:dyDescent="0.3">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x14ac:dyDescent="0.3">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x14ac:dyDescent="0.3">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x14ac:dyDescent="0.3">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x14ac:dyDescent="0.3">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x14ac:dyDescent="0.3">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x14ac:dyDescent="0.3">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x14ac:dyDescent="0.3">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x14ac:dyDescent="0.3">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x14ac:dyDescent="0.3">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x14ac:dyDescent="0.3">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x14ac:dyDescent="0.3">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x14ac:dyDescent="0.3">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x14ac:dyDescent="0.3">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x14ac:dyDescent="0.3">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x14ac:dyDescent="0.3">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x14ac:dyDescent="0.3">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x14ac:dyDescent="0.3">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x14ac:dyDescent="0.3">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x14ac:dyDescent="0.3">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x14ac:dyDescent="0.3">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x14ac:dyDescent="0.3">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x14ac:dyDescent="0.3">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x14ac:dyDescent="0.3">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x14ac:dyDescent="0.3">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x14ac:dyDescent="0.3">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x14ac:dyDescent="0.3">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x14ac:dyDescent="0.3">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x14ac:dyDescent="0.3">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x14ac:dyDescent="0.3">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x14ac:dyDescent="0.3">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x14ac:dyDescent="0.3">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x14ac:dyDescent="0.3">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x14ac:dyDescent="0.3">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x14ac:dyDescent="0.3">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x14ac:dyDescent="0.3">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x14ac:dyDescent="0.3">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x14ac:dyDescent="0.3">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x14ac:dyDescent="0.3">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x14ac:dyDescent="0.3">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x14ac:dyDescent="0.3">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x14ac:dyDescent="0.3">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x14ac:dyDescent="0.3">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x14ac:dyDescent="0.3">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x14ac:dyDescent="0.3">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x14ac:dyDescent="0.3">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x14ac:dyDescent="0.3">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x14ac:dyDescent="0.3">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x14ac:dyDescent="0.3">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x14ac:dyDescent="0.3">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x14ac:dyDescent="0.3">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x14ac:dyDescent="0.3">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x14ac:dyDescent="0.3">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x14ac:dyDescent="0.3">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x14ac:dyDescent="0.3">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x14ac:dyDescent="0.3">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x14ac:dyDescent="0.3">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x14ac:dyDescent="0.3">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x14ac:dyDescent="0.3">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x14ac:dyDescent="0.3">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x14ac:dyDescent="0.3">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x14ac:dyDescent="0.3">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x14ac:dyDescent="0.3">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x14ac:dyDescent="0.3">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x14ac:dyDescent="0.3">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x14ac:dyDescent="0.3">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x14ac:dyDescent="0.3">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x14ac:dyDescent="0.3">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x14ac:dyDescent="0.3">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x14ac:dyDescent="0.3">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x14ac:dyDescent="0.3">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x14ac:dyDescent="0.3">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x14ac:dyDescent="0.3">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x14ac:dyDescent="0.3">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x14ac:dyDescent="0.3">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x14ac:dyDescent="0.3">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x14ac:dyDescent="0.3">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x14ac:dyDescent="0.3">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x14ac:dyDescent="0.3">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x14ac:dyDescent="0.3">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x14ac:dyDescent="0.3">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x14ac:dyDescent="0.3">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x14ac:dyDescent="0.3">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x14ac:dyDescent="0.3">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x14ac:dyDescent="0.3">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x14ac:dyDescent="0.3">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x14ac:dyDescent="0.3">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x14ac:dyDescent="0.3">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x14ac:dyDescent="0.3">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x14ac:dyDescent="0.3">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x14ac:dyDescent="0.3">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x14ac:dyDescent="0.3">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x14ac:dyDescent="0.3">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x14ac:dyDescent="0.3">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x14ac:dyDescent="0.3">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x14ac:dyDescent="0.3">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x14ac:dyDescent="0.3">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x14ac:dyDescent="0.3">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x14ac:dyDescent="0.3">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x14ac:dyDescent="0.3">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x14ac:dyDescent="0.3">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x14ac:dyDescent="0.3">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x14ac:dyDescent="0.3">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x14ac:dyDescent="0.3">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x14ac:dyDescent="0.3">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x14ac:dyDescent="0.3">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x14ac:dyDescent="0.3">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x14ac:dyDescent="0.3">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x14ac:dyDescent="0.3">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x14ac:dyDescent="0.3">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x14ac:dyDescent="0.3">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x14ac:dyDescent="0.3">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x14ac:dyDescent="0.3">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x14ac:dyDescent="0.3">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x14ac:dyDescent="0.3">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x14ac:dyDescent="0.3">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x14ac:dyDescent="0.3">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x14ac:dyDescent="0.3">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x14ac:dyDescent="0.3">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x14ac:dyDescent="0.3">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x14ac:dyDescent="0.3">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x14ac:dyDescent="0.3">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x14ac:dyDescent="0.3">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x14ac:dyDescent="0.3">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x14ac:dyDescent="0.3">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x14ac:dyDescent="0.3">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x14ac:dyDescent="0.3">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x14ac:dyDescent="0.3">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x14ac:dyDescent="0.3">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x14ac:dyDescent="0.3">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x14ac:dyDescent="0.3">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x14ac:dyDescent="0.3">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x14ac:dyDescent="0.3">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x14ac:dyDescent="0.3">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x14ac:dyDescent="0.3">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x14ac:dyDescent="0.3">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x14ac:dyDescent="0.3">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x14ac:dyDescent="0.3">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x14ac:dyDescent="0.3">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x14ac:dyDescent="0.3">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x14ac:dyDescent="0.3">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x14ac:dyDescent="0.3">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x14ac:dyDescent="0.3">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x14ac:dyDescent="0.3">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x14ac:dyDescent="0.3">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x14ac:dyDescent="0.3">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x14ac:dyDescent="0.3">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x14ac:dyDescent="0.3">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x14ac:dyDescent="0.3">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x14ac:dyDescent="0.3">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x14ac:dyDescent="0.3">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x14ac:dyDescent="0.3">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x14ac:dyDescent="0.3">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x14ac:dyDescent="0.3">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x14ac:dyDescent="0.3">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x14ac:dyDescent="0.3">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x14ac:dyDescent="0.3">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x14ac:dyDescent="0.3">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x14ac:dyDescent="0.3">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x14ac:dyDescent="0.3">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x14ac:dyDescent="0.3">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x14ac:dyDescent="0.3">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x14ac:dyDescent="0.3">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x14ac:dyDescent="0.3">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x14ac:dyDescent="0.3">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x14ac:dyDescent="0.3">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x14ac:dyDescent="0.3">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x14ac:dyDescent="0.3">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x14ac:dyDescent="0.3">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x14ac:dyDescent="0.3">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x14ac:dyDescent="0.3">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x14ac:dyDescent="0.3">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x14ac:dyDescent="0.3">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x14ac:dyDescent="0.3">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x14ac:dyDescent="0.3">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x14ac:dyDescent="0.3">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x14ac:dyDescent="0.3">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x14ac:dyDescent="0.3">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x14ac:dyDescent="0.3">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x14ac:dyDescent="0.3">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x14ac:dyDescent="0.3">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x14ac:dyDescent="0.3">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x14ac:dyDescent="0.3">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x14ac:dyDescent="0.3">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x14ac:dyDescent="0.3">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x14ac:dyDescent="0.3">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x14ac:dyDescent="0.3">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x14ac:dyDescent="0.3">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x14ac:dyDescent="0.3">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x14ac:dyDescent="0.3">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x14ac:dyDescent="0.3">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x14ac:dyDescent="0.3">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x14ac:dyDescent="0.3">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x14ac:dyDescent="0.3">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x14ac:dyDescent="0.3">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x14ac:dyDescent="0.3">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x14ac:dyDescent="0.3">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x14ac:dyDescent="0.3">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x14ac:dyDescent="0.3">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x14ac:dyDescent="0.3">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x14ac:dyDescent="0.3">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x14ac:dyDescent="0.3">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x14ac:dyDescent="0.3">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x14ac:dyDescent="0.3">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x14ac:dyDescent="0.3">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x14ac:dyDescent="0.3">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x14ac:dyDescent="0.3">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x14ac:dyDescent="0.3">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x14ac:dyDescent="0.3">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x14ac:dyDescent="0.3">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x14ac:dyDescent="0.3">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x14ac:dyDescent="0.3">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x14ac:dyDescent="0.3">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x14ac:dyDescent="0.3">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x14ac:dyDescent="0.3">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x14ac:dyDescent="0.3">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x14ac:dyDescent="0.3">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x14ac:dyDescent="0.3">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x14ac:dyDescent="0.3">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x14ac:dyDescent="0.3">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x14ac:dyDescent="0.3">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x14ac:dyDescent="0.3">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x14ac:dyDescent="0.3">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x14ac:dyDescent="0.3">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x14ac:dyDescent="0.3">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x14ac:dyDescent="0.3">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x14ac:dyDescent="0.3">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x14ac:dyDescent="0.3">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x14ac:dyDescent="0.3">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x14ac:dyDescent="0.3">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x14ac:dyDescent="0.3">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x14ac:dyDescent="0.3">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x14ac:dyDescent="0.3">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x14ac:dyDescent="0.3">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x14ac:dyDescent="0.3">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x14ac:dyDescent="0.3">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x14ac:dyDescent="0.3">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x14ac:dyDescent="0.3">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x14ac:dyDescent="0.3">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x14ac:dyDescent="0.3">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x14ac:dyDescent="0.3">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x14ac:dyDescent="0.3">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x14ac:dyDescent="0.3">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x14ac:dyDescent="0.3">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x14ac:dyDescent="0.3">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x14ac:dyDescent="0.3">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x14ac:dyDescent="0.3">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x14ac:dyDescent="0.3">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x14ac:dyDescent="0.3">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x14ac:dyDescent="0.3">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x14ac:dyDescent="0.3">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x14ac:dyDescent="0.3">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x14ac:dyDescent="0.3">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x14ac:dyDescent="0.3">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x14ac:dyDescent="0.3">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x14ac:dyDescent="0.3">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x14ac:dyDescent="0.3">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x14ac:dyDescent="0.3">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x14ac:dyDescent="0.3">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x14ac:dyDescent="0.3">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x14ac:dyDescent="0.3">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x14ac:dyDescent="0.3">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x14ac:dyDescent="0.3">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x14ac:dyDescent="0.3">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x14ac:dyDescent="0.3">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x14ac:dyDescent="0.3">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x14ac:dyDescent="0.3">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x14ac:dyDescent="0.3">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x14ac:dyDescent="0.3">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x14ac:dyDescent="0.3">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x14ac:dyDescent="0.3">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x14ac:dyDescent="0.3">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x14ac:dyDescent="0.3">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x14ac:dyDescent="0.3">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x14ac:dyDescent="0.3">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x14ac:dyDescent="0.3">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x14ac:dyDescent="0.3">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x14ac:dyDescent="0.3">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x14ac:dyDescent="0.3">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x14ac:dyDescent="0.3">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x14ac:dyDescent="0.3">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x14ac:dyDescent="0.3">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x14ac:dyDescent="0.3">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x14ac:dyDescent="0.3">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x14ac:dyDescent="0.3">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x14ac:dyDescent="0.3">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x14ac:dyDescent="0.3">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x14ac:dyDescent="0.3">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x14ac:dyDescent="0.3">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x14ac:dyDescent="0.3">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x14ac:dyDescent="0.3">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x14ac:dyDescent="0.3">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x14ac:dyDescent="0.3">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x14ac:dyDescent="0.3">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x14ac:dyDescent="0.3">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x14ac:dyDescent="0.3">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x14ac:dyDescent="0.3">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x14ac:dyDescent="0.3">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x14ac:dyDescent="0.3">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x14ac:dyDescent="0.3">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x14ac:dyDescent="0.3">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x14ac:dyDescent="0.3">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x14ac:dyDescent="0.3">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x14ac:dyDescent="0.3">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x14ac:dyDescent="0.3">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x14ac:dyDescent="0.3">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x14ac:dyDescent="0.3">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x14ac:dyDescent="0.3">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x14ac:dyDescent="0.3">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x14ac:dyDescent="0.3">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x14ac:dyDescent="0.3">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x14ac:dyDescent="0.3">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x14ac:dyDescent="0.3">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x14ac:dyDescent="0.3">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x14ac:dyDescent="0.3">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x14ac:dyDescent="0.3">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x14ac:dyDescent="0.3">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x14ac:dyDescent="0.3">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x14ac:dyDescent="0.3">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x14ac:dyDescent="0.3">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x14ac:dyDescent="0.3">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x14ac:dyDescent="0.3">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x14ac:dyDescent="0.3">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x14ac:dyDescent="0.3">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x14ac:dyDescent="0.3">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x14ac:dyDescent="0.3">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x14ac:dyDescent="0.3">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x14ac:dyDescent="0.3">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x14ac:dyDescent="0.3">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x14ac:dyDescent="0.3">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x14ac:dyDescent="0.3">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x14ac:dyDescent="0.3">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x14ac:dyDescent="0.3">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x14ac:dyDescent="0.3">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x14ac:dyDescent="0.3">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x14ac:dyDescent="0.3">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x14ac:dyDescent="0.3">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x14ac:dyDescent="0.3">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x14ac:dyDescent="0.3">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x14ac:dyDescent="0.3">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x14ac:dyDescent="0.3">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x14ac:dyDescent="0.3">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x14ac:dyDescent="0.3">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x14ac:dyDescent="0.3">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x14ac:dyDescent="0.3">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x14ac:dyDescent="0.3">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x14ac:dyDescent="0.3">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x14ac:dyDescent="0.3">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x14ac:dyDescent="0.3">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x14ac:dyDescent="0.3">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x14ac:dyDescent="0.3">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x14ac:dyDescent="0.3">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x14ac:dyDescent="0.3">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x14ac:dyDescent="0.3">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x14ac:dyDescent="0.3">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x14ac:dyDescent="0.3">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x14ac:dyDescent="0.3">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x14ac:dyDescent="0.3">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x14ac:dyDescent="0.3">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x14ac:dyDescent="0.3">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x14ac:dyDescent="0.3">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x14ac:dyDescent="0.3">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x14ac:dyDescent="0.3">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x14ac:dyDescent="0.3">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x14ac:dyDescent="0.3">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x14ac:dyDescent="0.3">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x14ac:dyDescent="0.3">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x14ac:dyDescent="0.3">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x14ac:dyDescent="0.3">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x14ac:dyDescent="0.3">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x14ac:dyDescent="0.3">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x14ac:dyDescent="0.3">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x14ac:dyDescent="0.3">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x14ac:dyDescent="0.3">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x14ac:dyDescent="0.3">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x14ac:dyDescent="0.3">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x14ac:dyDescent="0.3">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x14ac:dyDescent="0.3">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x14ac:dyDescent="0.3">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x14ac:dyDescent="0.3">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x14ac:dyDescent="0.3">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x14ac:dyDescent="0.3">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x14ac:dyDescent="0.3">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x14ac:dyDescent="0.3">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x14ac:dyDescent="0.3">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x14ac:dyDescent="0.3">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x14ac:dyDescent="0.3">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x14ac:dyDescent="0.3">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x14ac:dyDescent="0.3">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x14ac:dyDescent="0.3">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x14ac:dyDescent="0.3">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x14ac:dyDescent="0.3">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x14ac:dyDescent="0.3">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x14ac:dyDescent="0.3">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x14ac:dyDescent="0.3">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x14ac:dyDescent="0.3">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x14ac:dyDescent="0.3">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x14ac:dyDescent="0.3">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x14ac:dyDescent="0.3">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x14ac:dyDescent="0.3">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x14ac:dyDescent="0.3">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x14ac:dyDescent="0.3">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x14ac:dyDescent="0.3">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x14ac:dyDescent="0.3">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x14ac:dyDescent="0.3">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x14ac:dyDescent="0.3">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x14ac:dyDescent="0.3">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x14ac:dyDescent="0.3">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x14ac:dyDescent="0.3">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x14ac:dyDescent="0.3">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x14ac:dyDescent="0.3">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x14ac:dyDescent="0.3">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x14ac:dyDescent="0.3">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x14ac:dyDescent="0.3">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x14ac:dyDescent="0.3">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x14ac:dyDescent="0.3">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x14ac:dyDescent="0.3">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x14ac:dyDescent="0.3">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x14ac:dyDescent="0.3">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x14ac:dyDescent="0.3">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x14ac:dyDescent="0.3">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x14ac:dyDescent="0.3">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x14ac:dyDescent="0.3">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x14ac:dyDescent="0.3">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x14ac:dyDescent="0.3">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x14ac:dyDescent="0.3">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x14ac:dyDescent="0.3">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x14ac:dyDescent="0.3">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x14ac:dyDescent="0.3">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x14ac:dyDescent="0.3">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x14ac:dyDescent="0.3">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x14ac:dyDescent="0.3">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x14ac:dyDescent="0.3">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x14ac:dyDescent="0.3">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x14ac:dyDescent="0.3">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x14ac:dyDescent="0.3">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x14ac:dyDescent="0.3">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x14ac:dyDescent="0.3">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x14ac:dyDescent="0.3">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x14ac:dyDescent="0.3">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x14ac:dyDescent="0.3">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x14ac:dyDescent="0.3">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x14ac:dyDescent="0.3">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x14ac:dyDescent="0.3">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x14ac:dyDescent="0.3">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x14ac:dyDescent="0.3">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x14ac:dyDescent="0.3">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x14ac:dyDescent="0.3">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x14ac:dyDescent="0.3">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x14ac:dyDescent="0.3">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x14ac:dyDescent="0.3">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x14ac:dyDescent="0.3">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x14ac:dyDescent="0.3">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x14ac:dyDescent="0.3">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x14ac:dyDescent="0.3">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x14ac:dyDescent="0.3">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x14ac:dyDescent="0.3">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x14ac:dyDescent="0.3">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x14ac:dyDescent="0.3">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x14ac:dyDescent="0.3">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x14ac:dyDescent="0.3">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x14ac:dyDescent="0.3">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x14ac:dyDescent="0.3">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x14ac:dyDescent="0.3">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x14ac:dyDescent="0.3">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x14ac:dyDescent="0.3">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x14ac:dyDescent="0.3">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x14ac:dyDescent="0.3">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x14ac:dyDescent="0.3">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x14ac:dyDescent="0.3">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x14ac:dyDescent="0.3">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x14ac:dyDescent="0.3">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x14ac:dyDescent="0.3">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x14ac:dyDescent="0.3">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x14ac:dyDescent="0.3">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x14ac:dyDescent="0.3">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x14ac:dyDescent="0.3">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x14ac:dyDescent="0.3">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x14ac:dyDescent="0.3">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x14ac:dyDescent="0.3">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x14ac:dyDescent="0.3">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x14ac:dyDescent="0.3">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x14ac:dyDescent="0.3">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x14ac:dyDescent="0.3">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x14ac:dyDescent="0.3">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x14ac:dyDescent="0.3">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x14ac:dyDescent="0.3">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x14ac:dyDescent="0.3">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x14ac:dyDescent="0.3">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x14ac:dyDescent="0.3">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x14ac:dyDescent="0.3">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x14ac:dyDescent="0.3">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x14ac:dyDescent="0.3">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x14ac:dyDescent="0.3">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x14ac:dyDescent="0.3">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x14ac:dyDescent="0.3">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x14ac:dyDescent="0.3">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x14ac:dyDescent="0.3">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x14ac:dyDescent="0.3">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x14ac:dyDescent="0.3">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x14ac:dyDescent="0.3">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x14ac:dyDescent="0.3">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x14ac:dyDescent="0.3">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x14ac:dyDescent="0.3">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x14ac:dyDescent="0.3">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x14ac:dyDescent="0.3">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x14ac:dyDescent="0.3">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x14ac:dyDescent="0.3">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x14ac:dyDescent="0.3">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x14ac:dyDescent="0.3">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x14ac:dyDescent="0.3">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x14ac:dyDescent="0.3">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x14ac:dyDescent="0.3">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x14ac:dyDescent="0.3">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x14ac:dyDescent="0.3">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x14ac:dyDescent="0.3">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x14ac:dyDescent="0.3">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x14ac:dyDescent="0.3">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x14ac:dyDescent="0.3">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x14ac:dyDescent="0.3">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x14ac:dyDescent="0.3">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x14ac:dyDescent="0.3">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x14ac:dyDescent="0.3">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x14ac:dyDescent="0.3">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x14ac:dyDescent="0.3">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x14ac:dyDescent="0.3">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x14ac:dyDescent="0.3">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x14ac:dyDescent="0.3">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x14ac:dyDescent="0.3">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x14ac:dyDescent="0.3">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x14ac:dyDescent="0.3">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x14ac:dyDescent="0.3">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x14ac:dyDescent="0.3">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x14ac:dyDescent="0.3">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x14ac:dyDescent="0.3">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x14ac:dyDescent="0.3">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x14ac:dyDescent="0.3">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x14ac:dyDescent="0.3">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x14ac:dyDescent="0.3">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x14ac:dyDescent="0.3">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x14ac:dyDescent="0.3">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x14ac:dyDescent="0.3">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x14ac:dyDescent="0.3">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x14ac:dyDescent="0.3">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x14ac:dyDescent="0.3">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x14ac:dyDescent="0.3">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x14ac:dyDescent="0.3">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x14ac:dyDescent="0.3">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x14ac:dyDescent="0.3">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x14ac:dyDescent="0.3">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x14ac:dyDescent="0.3">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x14ac:dyDescent="0.3">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x14ac:dyDescent="0.3">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x14ac:dyDescent="0.3">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x14ac:dyDescent="0.3">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x14ac:dyDescent="0.3">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x14ac:dyDescent="0.3">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x14ac:dyDescent="0.3">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x14ac:dyDescent="0.3">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x14ac:dyDescent="0.3">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x14ac:dyDescent="0.3">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x14ac:dyDescent="0.3">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x14ac:dyDescent="0.3">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x14ac:dyDescent="0.3">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x14ac:dyDescent="0.3">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x14ac:dyDescent="0.3">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x14ac:dyDescent="0.3">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x14ac:dyDescent="0.3">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x14ac:dyDescent="0.3">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x14ac:dyDescent="0.3">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x14ac:dyDescent="0.3">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x14ac:dyDescent="0.3">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x14ac:dyDescent="0.3">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x14ac:dyDescent="0.3">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x14ac:dyDescent="0.3">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x14ac:dyDescent="0.3">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x14ac:dyDescent="0.3">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x14ac:dyDescent="0.3">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x14ac:dyDescent="0.3">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x14ac:dyDescent="0.3">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x14ac:dyDescent="0.3">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x14ac:dyDescent="0.3">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x14ac:dyDescent="0.3">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x14ac:dyDescent="0.3">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x14ac:dyDescent="0.3">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x14ac:dyDescent="0.3">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x14ac:dyDescent="0.3">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x14ac:dyDescent="0.3">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x14ac:dyDescent="0.3">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x14ac:dyDescent="0.3">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x14ac:dyDescent="0.3">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x14ac:dyDescent="0.3">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x14ac:dyDescent="0.3">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x14ac:dyDescent="0.3">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x14ac:dyDescent="0.3">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x14ac:dyDescent="0.3">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x14ac:dyDescent="0.3">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x14ac:dyDescent="0.3">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x14ac:dyDescent="0.3">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x14ac:dyDescent="0.3">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x14ac:dyDescent="0.3">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x14ac:dyDescent="0.3">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x14ac:dyDescent="0.3">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x14ac:dyDescent="0.3">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x14ac:dyDescent="0.3">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x14ac:dyDescent="0.3">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x14ac:dyDescent="0.3">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x14ac:dyDescent="0.3">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x14ac:dyDescent="0.3">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x14ac:dyDescent="0.3">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x14ac:dyDescent="0.3">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x14ac:dyDescent="0.3">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x14ac:dyDescent="0.3">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x14ac:dyDescent="0.3">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x14ac:dyDescent="0.3">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x14ac:dyDescent="0.3">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x14ac:dyDescent="0.3">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x14ac:dyDescent="0.3">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x14ac:dyDescent="0.3">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x14ac:dyDescent="0.3">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x14ac:dyDescent="0.3">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x14ac:dyDescent="0.3">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x14ac:dyDescent="0.3">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x14ac:dyDescent="0.3">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x14ac:dyDescent="0.3">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x14ac:dyDescent="0.3">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x14ac:dyDescent="0.3">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x14ac:dyDescent="0.3">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x14ac:dyDescent="0.3">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x14ac:dyDescent="0.3">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x14ac:dyDescent="0.3">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x14ac:dyDescent="0.3">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x14ac:dyDescent="0.3">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x14ac:dyDescent="0.3">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x14ac:dyDescent="0.3">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x14ac:dyDescent="0.3">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x14ac:dyDescent="0.3">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x14ac:dyDescent="0.3">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x14ac:dyDescent="0.3">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x14ac:dyDescent="0.3">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x14ac:dyDescent="0.3">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x14ac:dyDescent="0.3">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x14ac:dyDescent="0.3">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x14ac:dyDescent="0.3">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x14ac:dyDescent="0.3">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x14ac:dyDescent="0.3">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x14ac:dyDescent="0.3">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x14ac:dyDescent="0.3">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x14ac:dyDescent="0.3">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x14ac:dyDescent="0.3">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x14ac:dyDescent="0.3">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x14ac:dyDescent="0.3">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x14ac:dyDescent="0.3">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x14ac:dyDescent="0.3">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x14ac:dyDescent="0.3">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x14ac:dyDescent="0.3">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x14ac:dyDescent="0.3">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x14ac:dyDescent="0.3">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x14ac:dyDescent="0.3">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x14ac:dyDescent="0.3">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x14ac:dyDescent="0.3">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x14ac:dyDescent="0.3">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x14ac:dyDescent="0.3">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x14ac:dyDescent="0.3">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x14ac:dyDescent="0.3">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x14ac:dyDescent="0.3">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x14ac:dyDescent="0.3">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x14ac:dyDescent="0.3">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x14ac:dyDescent="0.3">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x14ac:dyDescent="0.3">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x14ac:dyDescent="0.3">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x14ac:dyDescent="0.3">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x14ac:dyDescent="0.3">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x14ac:dyDescent="0.3">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x14ac:dyDescent="0.3">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x14ac:dyDescent="0.3">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x14ac:dyDescent="0.3">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x14ac:dyDescent="0.3">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x14ac:dyDescent="0.3">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x14ac:dyDescent="0.3">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x14ac:dyDescent="0.3">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x14ac:dyDescent="0.3">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x14ac:dyDescent="0.3">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x14ac:dyDescent="0.3">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x14ac:dyDescent="0.3">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x14ac:dyDescent="0.3">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x14ac:dyDescent="0.3">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x14ac:dyDescent="0.3">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x14ac:dyDescent="0.3">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x14ac:dyDescent="0.3">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x14ac:dyDescent="0.3">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x14ac:dyDescent="0.3">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x14ac:dyDescent="0.3">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x14ac:dyDescent="0.3">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x14ac:dyDescent="0.3">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x14ac:dyDescent="0.3">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x14ac:dyDescent="0.3">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x14ac:dyDescent="0.3">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x14ac:dyDescent="0.3">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x14ac:dyDescent="0.3">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x14ac:dyDescent="0.3">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x14ac:dyDescent="0.3">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x14ac:dyDescent="0.3">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x14ac:dyDescent="0.3">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x14ac:dyDescent="0.3">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x14ac:dyDescent="0.3">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x14ac:dyDescent="0.3">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x14ac:dyDescent="0.3">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x14ac:dyDescent="0.3">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x14ac:dyDescent="0.3">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x14ac:dyDescent="0.3">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x14ac:dyDescent="0.3">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x14ac:dyDescent="0.3">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x14ac:dyDescent="0.3">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x14ac:dyDescent="0.3">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x14ac:dyDescent="0.3">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x14ac:dyDescent="0.3">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x14ac:dyDescent="0.3">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x14ac:dyDescent="0.3">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x14ac:dyDescent="0.3">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x14ac:dyDescent="0.3">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x14ac:dyDescent="0.3">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x14ac:dyDescent="0.3">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x14ac:dyDescent="0.3">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x14ac:dyDescent="0.3">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x14ac:dyDescent="0.3">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x14ac:dyDescent="0.3">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x14ac:dyDescent="0.3">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x14ac:dyDescent="0.3">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x14ac:dyDescent="0.3">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x14ac:dyDescent="0.3">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x14ac:dyDescent="0.3">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x14ac:dyDescent="0.3">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x14ac:dyDescent="0.3">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x14ac:dyDescent="0.3">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x14ac:dyDescent="0.3">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x14ac:dyDescent="0.3">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x14ac:dyDescent="0.3">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x14ac:dyDescent="0.3">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x14ac:dyDescent="0.3">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x14ac:dyDescent="0.3">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x14ac:dyDescent="0.3">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x14ac:dyDescent="0.3">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x14ac:dyDescent="0.3">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x14ac:dyDescent="0.3">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x14ac:dyDescent="0.3">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x14ac:dyDescent="0.3">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x14ac:dyDescent="0.3">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x14ac:dyDescent="0.3">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x14ac:dyDescent="0.3">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x14ac:dyDescent="0.3">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x14ac:dyDescent="0.3">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x14ac:dyDescent="0.3">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x14ac:dyDescent="0.3">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x14ac:dyDescent="0.3">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x14ac:dyDescent="0.3">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x14ac:dyDescent="0.3">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x14ac:dyDescent="0.3">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x14ac:dyDescent="0.3">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x14ac:dyDescent="0.3">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x14ac:dyDescent="0.3">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x14ac:dyDescent="0.3">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x14ac:dyDescent="0.3">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x14ac:dyDescent="0.3">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x14ac:dyDescent="0.3">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x14ac:dyDescent="0.3">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x14ac:dyDescent="0.3">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x14ac:dyDescent="0.3">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x14ac:dyDescent="0.3">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x14ac:dyDescent="0.3">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x14ac:dyDescent="0.3">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x14ac:dyDescent="0.3">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x14ac:dyDescent="0.3">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x14ac:dyDescent="0.3">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x14ac:dyDescent="0.3">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x14ac:dyDescent="0.3">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x14ac:dyDescent="0.3">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x14ac:dyDescent="0.3">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x14ac:dyDescent="0.3">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x14ac:dyDescent="0.3">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x14ac:dyDescent="0.3">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x14ac:dyDescent="0.3">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x14ac:dyDescent="0.3">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x14ac:dyDescent="0.3">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x14ac:dyDescent="0.3">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x14ac:dyDescent="0.3">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x14ac:dyDescent="0.3">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x14ac:dyDescent="0.3">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x14ac:dyDescent="0.3">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x14ac:dyDescent="0.3">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x14ac:dyDescent="0.3">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x14ac:dyDescent="0.3">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x14ac:dyDescent="0.3">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x14ac:dyDescent="0.3">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x14ac:dyDescent="0.3">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x14ac:dyDescent="0.3">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x14ac:dyDescent="0.3">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x14ac:dyDescent="0.3">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x14ac:dyDescent="0.3">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x14ac:dyDescent="0.3">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x14ac:dyDescent="0.3">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x14ac:dyDescent="0.3">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x14ac:dyDescent="0.3">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x14ac:dyDescent="0.3">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x14ac:dyDescent="0.3">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x14ac:dyDescent="0.3">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x14ac:dyDescent="0.3">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x14ac:dyDescent="0.3">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x14ac:dyDescent="0.3">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x14ac:dyDescent="0.3">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x14ac:dyDescent="0.3">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x14ac:dyDescent="0.3">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x14ac:dyDescent="0.3">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x14ac:dyDescent="0.3">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x14ac:dyDescent="0.3">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x14ac:dyDescent="0.3">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x14ac:dyDescent="0.3">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x14ac:dyDescent="0.3">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x14ac:dyDescent="0.3">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x14ac:dyDescent="0.3">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x14ac:dyDescent="0.3">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x14ac:dyDescent="0.3">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x14ac:dyDescent="0.3">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x14ac:dyDescent="0.3">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x14ac:dyDescent="0.3">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x14ac:dyDescent="0.3">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x14ac:dyDescent="0.3">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x14ac:dyDescent="0.3">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x14ac:dyDescent="0.3">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x14ac:dyDescent="0.3">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x14ac:dyDescent="0.3">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x14ac:dyDescent="0.3">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x14ac:dyDescent="0.3">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x14ac:dyDescent="0.3">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x14ac:dyDescent="0.3">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x14ac:dyDescent="0.3">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x14ac:dyDescent="0.3">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x14ac:dyDescent="0.3">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x14ac:dyDescent="0.3">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x14ac:dyDescent="0.3">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x14ac:dyDescent="0.3">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x14ac:dyDescent="0.3">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x14ac:dyDescent="0.3">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x14ac:dyDescent="0.3">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x14ac:dyDescent="0.3">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x14ac:dyDescent="0.3">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x14ac:dyDescent="0.3">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x14ac:dyDescent="0.3">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x14ac:dyDescent="0.3">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x14ac:dyDescent="0.3">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x14ac:dyDescent="0.3">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x14ac:dyDescent="0.3">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x14ac:dyDescent="0.3">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x14ac:dyDescent="0.3">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x14ac:dyDescent="0.3">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x14ac:dyDescent="0.3">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x14ac:dyDescent="0.3">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x14ac:dyDescent="0.3">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x14ac:dyDescent="0.3">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x14ac:dyDescent="0.3">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x14ac:dyDescent="0.3">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x14ac:dyDescent="0.3">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x14ac:dyDescent="0.3">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x14ac:dyDescent="0.3">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x14ac:dyDescent="0.3">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x14ac:dyDescent="0.3">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x14ac:dyDescent="0.3">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x14ac:dyDescent="0.3">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x14ac:dyDescent="0.3">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x14ac:dyDescent="0.3">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x14ac:dyDescent="0.3">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x14ac:dyDescent="0.3">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x14ac:dyDescent="0.3">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x14ac:dyDescent="0.3">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x14ac:dyDescent="0.3">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x14ac:dyDescent="0.3">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x14ac:dyDescent="0.3">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x14ac:dyDescent="0.3">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x14ac:dyDescent="0.3">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x14ac:dyDescent="0.3">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x14ac:dyDescent="0.3">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x14ac:dyDescent="0.3">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x14ac:dyDescent="0.3">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x14ac:dyDescent="0.3">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x14ac:dyDescent="0.3">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x14ac:dyDescent="0.3">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x14ac:dyDescent="0.3">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x14ac:dyDescent="0.3">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x14ac:dyDescent="0.3">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x14ac:dyDescent="0.3">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x14ac:dyDescent="0.3">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x14ac:dyDescent="0.3">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x14ac:dyDescent="0.3">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x14ac:dyDescent="0.3">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x14ac:dyDescent="0.3">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x14ac:dyDescent="0.3">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x14ac:dyDescent="0.3">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x14ac:dyDescent="0.3">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x14ac:dyDescent="0.3">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x14ac:dyDescent="0.3">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x14ac:dyDescent="0.3">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x14ac:dyDescent="0.3">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x14ac:dyDescent="0.3">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x14ac:dyDescent="0.3">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x14ac:dyDescent="0.3">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x14ac:dyDescent="0.3">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x14ac:dyDescent="0.3">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x14ac:dyDescent="0.3">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x14ac:dyDescent="0.3">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x14ac:dyDescent="0.3">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x14ac:dyDescent="0.3">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x14ac:dyDescent="0.3">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x14ac:dyDescent="0.3">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x14ac:dyDescent="0.3">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x14ac:dyDescent="0.3">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x14ac:dyDescent="0.3">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x14ac:dyDescent="0.3">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x14ac:dyDescent="0.3">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x14ac:dyDescent="0.3">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x14ac:dyDescent="0.3">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x14ac:dyDescent="0.3">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x14ac:dyDescent="0.3">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x14ac:dyDescent="0.3">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x14ac:dyDescent="0.3">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x14ac:dyDescent="0.3">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x14ac:dyDescent="0.3">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x14ac:dyDescent="0.3">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x14ac:dyDescent="0.3">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x14ac:dyDescent="0.3">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x14ac:dyDescent="0.3">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x14ac:dyDescent="0.3">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x14ac:dyDescent="0.3">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x14ac:dyDescent="0.3">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x14ac:dyDescent="0.3">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x14ac:dyDescent="0.3">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x14ac:dyDescent="0.3">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x14ac:dyDescent="0.3">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x14ac:dyDescent="0.3">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x14ac:dyDescent="0.3">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x14ac:dyDescent="0.3">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x14ac:dyDescent="0.3">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x14ac:dyDescent="0.3">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x14ac:dyDescent="0.3">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x14ac:dyDescent="0.3">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x14ac:dyDescent="0.3">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x14ac:dyDescent="0.3">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x14ac:dyDescent="0.3">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x14ac:dyDescent="0.3">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x14ac:dyDescent="0.3">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x14ac:dyDescent="0.3">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x14ac:dyDescent="0.3">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x14ac:dyDescent="0.3">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x14ac:dyDescent="0.3">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x14ac:dyDescent="0.3">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x14ac:dyDescent="0.3">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x14ac:dyDescent="0.3">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x14ac:dyDescent="0.3">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x14ac:dyDescent="0.3">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x14ac:dyDescent="0.3">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x14ac:dyDescent="0.3">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x14ac:dyDescent="0.3">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x14ac:dyDescent="0.3">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x14ac:dyDescent="0.3">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x14ac:dyDescent="0.3">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x14ac:dyDescent="0.3">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x14ac:dyDescent="0.3">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x14ac:dyDescent="0.3">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x14ac:dyDescent="0.3">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x14ac:dyDescent="0.3">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x14ac:dyDescent="0.3">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x14ac:dyDescent="0.3">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x14ac:dyDescent="0.3">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x14ac:dyDescent="0.3">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x14ac:dyDescent="0.3">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x14ac:dyDescent="0.3">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x14ac:dyDescent="0.3">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x14ac:dyDescent="0.3">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x14ac:dyDescent="0.3">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x14ac:dyDescent="0.3">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x14ac:dyDescent="0.3">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x14ac:dyDescent="0.3">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x14ac:dyDescent="0.3">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x14ac:dyDescent="0.3">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x14ac:dyDescent="0.3">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x14ac:dyDescent="0.3">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x14ac:dyDescent="0.3">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x14ac:dyDescent="0.3">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x14ac:dyDescent="0.3">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x14ac:dyDescent="0.3">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x14ac:dyDescent="0.3">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x14ac:dyDescent="0.3">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x14ac:dyDescent="0.3">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x14ac:dyDescent="0.3">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x14ac:dyDescent="0.3">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x14ac:dyDescent="0.3">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x14ac:dyDescent="0.3">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x14ac:dyDescent="0.3">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x14ac:dyDescent="0.3">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x14ac:dyDescent="0.3">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x14ac:dyDescent="0.3">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x14ac:dyDescent="0.3">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x14ac:dyDescent="0.3">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x14ac:dyDescent="0.3">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x14ac:dyDescent="0.3">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x14ac:dyDescent="0.3">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x14ac:dyDescent="0.3">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x14ac:dyDescent="0.3">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x14ac:dyDescent="0.3">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x14ac:dyDescent="0.3">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x14ac:dyDescent="0.3">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x14ac:dyDescent="0.3">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x14ac:dyDescent="0.3">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x14ac:dyDescent="0.3">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x14ac:dyDescent="0.3">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x14ac:dyDescent="0.3">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x14ac:dyDescent="0.3">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x14ac:dyDescent="0.3">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x14ac:dyDescent="0.3">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x14ac:dyDescent="0.3">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x14ac:dyDescent="0.3">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x14ac:dyDescent="0.3">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x14ac:dyDescent="0.3">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x14ac:dyDescent="0.3">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x14ac:dyDescent="0.3">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x14ac:dyDescent="0.3">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x14ac:dyDescent="0.3">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x14ac:dyDescent="0.3">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x14ac:dyDescent="0.3">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x14ac:dyDescent="0.3">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x14ac:dyDescent="0.3">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x14ac:dyDescent="0.3">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x14ac:dyDescent="0.3">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x14ac:dyDescent="0.3">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x14ac:dyDescent="0.3">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x14ac:dyDescent="0.3">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x14ac:dyDescent="0.3">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x14ac:dyDescent="0.3">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x14ac:dyDescent="0.3">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x14ac:dyDescent="0.3">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x14ac:dyDescent="0.3">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x14ac:dyDescent="0.3">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x14ac:dyDescent="0.3">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x14ac:dyDescent="0.3">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x14ac:dyDescent="0.3">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x14ac:dyDescent="0.3">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x14ac:dyDescent="0.3">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x14ac:dyDescent="0.3">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x14ac:dyDescent="0.3">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x14ac:dyDescent="0.3">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x14ac:dyDescent="0.3">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x14ac:dyDescent="0.3">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x14ac:dyDescent="0.3">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x14ac:dyDescent="0.3">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x14ac:dyDescent="0.3">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x14ac:dyDescent="0.3">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x14ac:dyDescent="0.3">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x14ac:dyDescent="0.3">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x14ac:dyDescent="0.3">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x14ac:dyDescent="0.3">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x14ac:dyDescent="0.3">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x14ac:dyDescent="0.3">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x14ac:dyDescent="0.3">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x14ac:dyDescent="0.3">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x14ac:dyDescent="0.3">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x14ac:dyDescent="0.3">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x14ac:dyDescent="0.3">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x14ac:dyDescent="0.3">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x14ac:dyDescent="0.3">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x14ac:dyDescent="0.3">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x14ac:dyDescent="0.3">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x14ac:dyDescent="0.3">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x14ac:dyDescent="0.3">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x14ac:dyDescent="0.3">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x14ac:dyDescent="0.3">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x14ac:dyDescent="0.3">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x14ac:dyDescent="0.3">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x14ac:dyDescent="0.3">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x14ac:dyDescent="0.3">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x14ac:dyDescent="0.3">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x14ac:dyDescent="0.3">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x14ac:dyDescent="0.3">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x14ac:dyDescent="0.3">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x14ac:dyDescent="0.3">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x14ac:dyDescent="0.3">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x14ac:dyDescent="0.3">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x14ac:dyDescent="0.3">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x14ac:dyDescent="0.3">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x14ac:dyDescent="0.3">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x14ac:dyDescent="0.3">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x14ac:dyDescent="0.3">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x14ac:dyDescent="0.3">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x14ac:dyDescent="0.3">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x14ac:dyDescent="0.3">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x14ac:dyDescent="0.3">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x14ac:dyDescent="0.3">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x14ac:dyDescent="0.3">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x14ac:dyDescent="0.3">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x14ac:dyDescent="0.3">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x14ac:dyDescent="0.3">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x14ac:dyDescent="0.3">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x14ac:dyDescent="0.3">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x14ac:dyDescent="0.3">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x14ac:dyDescent="0.3">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x14ac:dyDescent="0.3">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x14ac:dyDescent="0.3">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x14ac:dyDescent="0.3">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x14ac:dyDescent="0.3">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x14ac:dyDescent="0.3">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x14ac:dyDescent="0.3">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x14ac:dyDescent="0.3">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x14ac:dyDescent="0.3">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x14ac:dyDescent="0.3">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x14ac:dyDescent="0.3">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x14ac:dyDescent="0.3">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x14ac:dyDescent="0.3">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x14ac:dyDescent="0.3">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x14ac:dyDescent="0.3">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x14ac:dyDescent="0.3">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x14ac:dyDescent="0.3">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x14ac:dyDescent="0.3">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x14ac:dyDescent="0.3">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x14ac:dyDescent="0.3">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x14ac:dyDescent="0.3">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x14ac:dyDescent="0.3">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x14ac:dyDescent="0.3">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x14ac:dyDescent="0.3">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x14ac:dyDescent="0.3">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x14ac:dyDescent="0.3">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x14ac:dyDescent="0.3">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x14ac:dyDescent="0.3">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x14ac:dyDescent="0.3">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x14ac:dyDescent="0.3">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x14ac:dyDescent="0.3">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x14ac:dyDescent="0.3">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x14ac:dyDescent="0.3">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x14ac:dyDescent="0.3">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x14ac:dyDescent="0.3">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x14ac:dyDescent="0.3">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x14ac:dyDescent="0.3">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x14ac:dyDescent="0.3">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x14ac:dyDescent="0.3">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x14ac:dyDescent="0.3">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x14ac:dyDescent="0.3">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x14ac:dyDescent="0.3">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x14ac:dyDescent="0.3">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x14ac:dyDescent="0.3">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x14ac:dyDescent="0.3">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x14ac:dyDescent="0.3">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x14ac:dyDescent="0.3">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x14ac:dyDescent="0.3">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x14ac:dyDescent="0.3">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x14ac:dyDescent="0.3">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x14ac:dyDescent="0.3">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x14ac:dyDescent="0.3">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x14ac:dyDescent="0.3">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x14ac:dyDescent="0.3">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x14ac:dyDescent="0.3">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x14ac:dyDescent="0.3">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x14ac:dyDescent="0.3">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x14ac:dyDescent="0.3">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x14ac:dyDescent="0.3">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x14ac:dyDescent="0.3">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x14ac:dyDescent="0.3">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x14ac:dyDescent="0.3">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x14ac:dyDescent="0.3">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x14ac:dyDescent="0.3">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x14ac:dyDescent="0.3">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x14ac:dyDescent="0.3">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x14ac:dyDescent="0.3">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x14ac:dyDescent="0.3">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x14ac:dyDescent="0.3">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x14ac:dyDescent="0.3">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x14ac:dyDescent="0.3">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x14ac:dyDescent="0.3">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x14ac:dyDescent="0.3">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x14ac:dyDescent="0.3">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x14ac:dyDescent="0.3">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x14ac:dyDescent="0.3">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x14ac:dyDescent="0.3">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x14ac:dyDescent="0.3">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x14ac:dyDescent="0.3">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x14ac:dyDescent="0.3">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x14ac:dyDescent="0.3">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x14ac:dyDescent="0.3">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x14ac:dyDescent="0.3">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x14ac:dyDescent="0.3">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x14ac:dyDescent="0.3">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x14ac:dyDescent="0.3">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x14ac:dyDescent="0.3">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x14ac:dyDescent="0.3">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x14ac:dyDescent="0.3">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x14ac:dyDescent="0.3">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x14ac:dyDescent="0.3">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x14ac:dyDescent="0.3">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x14ac:dyDescent="0.3">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x14ac:dyDescent="0.3">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x14ac:dyDescent="0.3">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x14ac:dyDescent="0.3">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x14ac:dyDescent="0.3">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x14ac:dyDescent="0.3">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x14ac:dyDescent="0.3">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x14ac:dyDescent="0.3">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x14ac:dyDescent="0.3">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x14ac:dyDescent="0.3">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x14ac:dyDescent="0.3">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x14ac:dyDescent="0.3">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x14ac:dyDescent="0.3">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x14ac:dyDescent="0.3">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x14ac:dyDescent="0.3">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x14ac:dyDescent="0.3">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x14ac:dyDescent="0.3">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x14ac:dyDescent="0.3">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x14ac:dyDescent="0.3">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x14ac:dyDescent="0.3">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x14ac:dyDescent="0.3">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x14ac:dyDescent="0.3">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x14ac:dyDescent="0.3">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x14ac:dyDescent="0.3">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x14ac:dyDescent="0.3">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x14ac:dyDescent="0.3">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x14ac:dyDescent="0.3">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x14ac:dyDescent="0.3">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x14ac:dyDescent="0.3">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x14ac:dyDescent="0.3">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x14ac:dyDescent="0.3">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x14ac:dyDescent="0.3">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x14ac:dyDescent="0.3">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x14ac:dyDescent="0.3">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x14ac:dyDescent="0.3">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x14ac:dyDescent="0.3">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x14ac:dyDescent="0.3">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x14ac:dyDescent="0.3">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x14ac:dyDescent="0.3">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x14ac:dyDescent="0.3">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x14ac:dyDescent="0.3">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x14ac:dyDescent="0.3">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x14ac:dyDescent="0.3">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x14ac:dyDescent="0.3">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x14ac:dyDescent="0.3">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x14ac:dyDescent="0.3">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x14ac:dyDescent="0.3">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x14ac:dyDescent="0.3">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x14ac:dyDescent="0.3">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x14ac:dyDescent="0.3">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x14ac:dyDescent="0.3">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x14ac:dyDescent="0.3">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x14ac:dyDescent="0.3">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x14ac:dyDescent="0.3">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x14ac:dyDescent="0.3">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x14ac:dyDescent="0.3">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x14ac:dyDescent="0.3">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x14ac:dyDescent="0.3">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x14ac:dyDescent="0.3">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x14ac:dyDescent="0.3">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x14ac:dyDescent="0.3">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x14ac:dyDescent="0.3">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x14ac:dyDescent="0.3">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x14ac:dyDescent="0.3">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x14ac:dyDescent="0.3">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x14ac:dyDescent="0.3">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x14ac:dyDescent="0.3">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x14ac:dyDescent="0.3">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x14ac:dyDescent="0.3">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x14ac:dyDescent="0.3">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x14ac:dyDescent="0.3">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x14ac:dyDescent="0.3">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x14ac:dyDescent="0.3">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x14ac:dyDescent="0.3">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x14ac:dyDescent="0.3">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x14ac:dyDescent="0.3">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x14ac:dyDescent="0.3">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x14ac:dyDescent="0.3">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x14ac:dyDescent="0.3">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x14ac:dyDescent="0.3">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x14ac:dyDescent="0.3">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x14ac:dyDescent="0.3">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x14ac:dyDescent="0.3">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x14ac:dyDescent="0.3">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x14ac:dyDescent="0.3">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x14ac:dyDescent="0.3">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x14ac:dyDescent="0.3">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x14ac:dyDescent="0.3">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x14ac:dyDescent="0.3">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x14ac:dyDescent="0.3">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x14ac:dyDescent="0.3">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x14ac:dyDescent="0.3">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x14ac:dyDescent="0.3">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x14ac:dyDescent="0.3">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x14ac:dyDescent="0.3">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x14ac:dyDescent="0.3">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x14ac:dyDescent="0.3">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x14ac:dyDescent="0.3">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x14ac:dyDescent="0.3">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x14ac:dyDescent="0.3">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x14ac:dyDescent="0.3">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x14ac:dyDescent="0.3">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x14ac:dyDescent="0.3">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x14ac:dyDescent="0.3">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x14ac:dyDescent="0.3">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x14ac:dyDescent="0.3">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x14ac:dyDescent="0.3">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x14ac:dyDescent="0.3">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x14ac:dyDescent="0.3">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x14ac:dyDescent="0.3">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x14ac:dyDescent="0.3">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x14ac:dyDescent="0.3">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x14ac:dyDescent="0.3">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x14ac:dyDescent="0.3">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x14ac:dyDescent="0.3">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x14ac:dyDescent="0.3">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x14ac:dyDescent="0.3">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x14ac:dyDescent="0.3">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x14ac:dyDescent="0.3">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x14ac:dyDescent="0.3">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x14ac:dyDescent="0.3">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x14ac:dyDescent="0.3">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x14ac:dyDescent="0.3">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x14ac:dyDescent="0.3">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x14ac:dyDescent="0.3">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x14ac:dyDescent="0.3">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x14ac:dyDescent="0.3">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x14ac:dyDescent="0.3">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x14ac:dyDescent="0.3">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x14ac:dyDescent="0.3">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x14ac:dyDescent="0.3">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x14ac:dyDescent="0.3">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x14ac:dyDescent="0.3">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x14ac:dyDescent="0.3">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x14ac:dyDescent="0.3">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x14ac:dyDescent="0.3">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x14ac:dyDescent="0.3">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x14ac:dyDescent="0.3">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x14ac:dyDescent="0.3">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x14ac:dyDescent="0.3">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x14ac:dyDescent="0.3">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x14ac:dyDescent="0.3">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x14ac:dyDescent="0.3">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x14ac:dyDescent="0.3">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x14ac:dyDescent="0.3">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x14ac:dyDescent="0.3">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x14ac:dyDescent="0.3">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x14ac:dyDescent="0.3">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x14ac:dyDescent="0.3">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x14ac:dyDescent="0.3">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x14ac:dyDescent="0.3">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x14ac:dyDescent="0.3">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x14ac:dyDescent="0.3">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x14ac:dyDescent="0.3">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x14ac:dyDescent="0.3">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x14ac:dyDescent="0.3">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x14ac:dyDescent="0.3">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x14ac:dyDescent="0.3">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x14ac:dyDescent="0.3">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x14ac:dyDescent="0.3">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x14ac:dyDescent="0.3">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x14ac:dyDescent="0.3">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x14ac:dyDescent="0.3">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x14ac:dyDescent="0.3">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x14ac:dyDescent="0.3">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x14ac:dyDescent="0.3">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x14ac:dyDescent="0.3">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x14ac:dyDescent="0.3">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x14ac:dyDescent="0.3">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x14ac:dyDescent="0.3">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x14ac:dyDescent="0.3">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x14ac:dyDescent="0.3">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x14ac:dyDescent="0.3">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x14ac:dyDescent="0.3">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x14ac:dyDescent="0.3">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x14ac:dyDescent="0.3">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x14ac:dyDescent="0.3">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x14ac:dyDescent="0.3">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x14ac:dyDescent="0.3">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x14ac:dyDescent="0.3">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x14ac:dyDescent="0.3">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x14ac:dyDescent="0.3">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x14ac:dyDescent="0.3">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x14ac:dyDescent="0.3">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x14ac:dyDescent="0.3">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x14ac:dyDescent="0.3">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x14ac:dyDescent="0.3">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x14ac:dyDescent="0.3">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x14ac:dyDescent="0.3">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x14ac:dyDescent="0.3">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x14ac:dyDescent="0.3">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x14ac:dyDescent="0.3">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x14ac:dyDescent="0.3">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x14ac:dyDescent="0.3">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x14ac:dyDescent="0.3">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x14ac:dyDescent="0.3">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x14ac:dyDescent="0.3">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x14ac:dyDescent="0.3">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x14ac:dyDescent="0.3">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x14ac:dyDescent="0.3">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x14ac:dyDescent="0.3">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x14ac:dyDescent="0.3">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x14ac:dyDescent="0.3">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x14ac:dyDescent="0.3">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x14ac:dyDescent="0.3">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x14ac:dyDescent="0.3">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x14ac:dyDescent="0.3">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x14ac:dyDescent="0.3">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x14ac:dyDescent="0.3">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x14ac:dyDescent="0.3">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x14ac:dyDescent="0.3">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x14ac:dyDescent="0.3">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x14ac:dyDescent="0.3">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x14ac:dyDescent="0.3">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x14ac:dyDescent="0.3">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x14ac:dyDescent="0.3">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x14ac:dyDescent="0.3">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x14ac:dyDescent="0.3">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x14ac:dyDescent="0.3">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x14ac:dyDescent="0.3">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x14ac:dyDescent="0.3">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x14ac:dyDescent="0.3">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x14ac:dyDescent="0.3">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x14ac:dyDescent="0.3">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x14ac:dyDescent="0.3">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x14ac:dyDescent="0.3">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x14ac:dyDescent="0.3">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x14ac:dyDescent="0.3">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x14ac:dyDescent="0.3">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x14ac:dyDescent="0.3">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x14ac:dyDescent="0.3">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x14ac:dyDescent="0.3">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x14ac:dyDescent="0.3">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x14ac:dyDescent="0.3">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x14ac:dyDescent="0.3">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x14ac:dyDescent="0.3">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x14ac:dyDescent="0.3">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x14ac:dyDescent="0.3">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x14ac:dyDescent="0.3">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x14ac:dyDescent="0.3">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x14ac:dyDescent="0.3">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x14ac:dyDescent="0.3">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x14ac:dyDescent="0.3">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x14ac:dyDescent="0.3">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x14ac:dyDescent="0.3">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x14ac:dyDescent="0.3">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x14ac:dyDescent="0.3">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x14ac:dyDescent="0.3">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x14ac:dyDescent="0.3">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x14ac:dyDescent="0.3">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x14ac:dyDescent="0.3">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x14ac:dyDescent="0.3">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x14ac:dyDescent="0.3">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x14ac:dyDescent="0.3">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x14ac:dyDescent="0.3">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x14ac:dyDescent="0.3">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x14ac:dyDescent="0.3">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x14ac:dyDescent="0.3">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x14ac:dyDescent="0.3">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x14ac:dyDescent="0.3">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x14ac:dyDescent="0.3">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x14ac:dyDescent="0.3">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x14ac:dyDescent="0.3">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x14ac:dyDescent="0.3">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x14ac:dyDescent="0.3">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x14ac:dyDescent="0.3">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x14ac:dyDescent="0.3">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x14ac:dyDescent="0.3">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x14ac:dyDescent="0.3">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x14ac:dyDescent="0.3">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x14ac:dyDescent="0.3">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x14ac:dyDescent="0.3">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x14ac:dyDescent="0.3">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x14ac:dyDescent="0.3">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x14ac:dyDescent="0.3">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x14ac:dyDescent="0.3">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x14ac:dyDescent="0.3">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x14ac:dyDescent="0.3">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x14ac:dyDescent="0.3">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x14ac:dyDescent="0.3">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x14ac:dyDescent="0.3">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x14ac:dyDescent="0.3">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x14ac:dyDescent="0.3">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x14ac:dyDescent="0.3">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x14ac:dyDescent="0.3">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x14ac:dyDescent="0.3">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x14ac:dyDescent="0.3">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x14ac:dyDescent="0.3">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x14ac:dyDescent="0.3">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x14ac:dyDescent="0.3">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x14ac:dyDescent="0.3">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x14ac:dyDescent="0.3">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x14ac:dyDescent="0.3">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x14ac:dyDescent="0.3">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x14ac:dyDescent="0.3">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x14ac:dyDescent="0.3">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x14ac:dyDescent="0.3">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x14ac:dyDescent="0.3">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x14ac:dyDescent="0.3">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x14ac:dyDescent="0.3">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x14ac:dyDescent="0.3">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x14ac:dyDescent="0.3">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x14ac:dyDescent="0.3">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x14ac:dyDescent="0.3">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x14ac:dyDescent="0.3">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x14ac:dyDescent="0.3">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x14ac:dyDescent="0.3">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x14ac:dyDescent="0.3">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x14ac:dyDescent="0.3">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x14ac:dyDescent="0.3">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x14ac:dyDescent="0.3">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x14ac:dyDescent="0.3">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x14ac:dyDescent="0.3">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x14ac:dyDescent="0.3">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x14ac:dyDescent="0.3">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x14ac:dyDescent="0.3">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x14ac:dyDescent="0.3">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x14ac:dyDescent="0.3">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x14ac:dyDescent="0.3">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x14ac:dyDescent="0.3">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x14ac:dyDescent="0.3">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x14ac:dyDescent="0.3">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x14ac:dyDescent="0.3">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x14ac:dyDescent="0.3">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x14ac:dyDescent="0.3">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x14ac:dyDescent="0.3">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x14ac:dyDescent="0.3">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x14ac:dyDescent="0.3">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x14ac:dyDescent="0.3">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x14ac:dyDescent="0.3">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x14ac:dyDescent="0.3">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x14ac:dyDescent="0.3">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x14ac:dyDescent="0.3">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x14ac:dyDescent="0.3">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x14ac:dyDescent="0.3">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x14ac:dyDescent="0.3">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x14ac:dyDescent="0.3">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x14ac:dyDescent="0.3">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x14ac:dyDescent="0.3">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x14ac:dyDescent="0.3">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x14ac:dyDescent="0.3">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x14ac:dyDescent="0.3">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x14ac:dyDescent="0.3">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x14ac:dyDescent="0.3">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x14ac:dyDescent="0.3">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x14ac:dyDescent="0.3">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x14ac:dyDescent="0.3">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x14ac:dyDescent="0.3">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x14ac:dyDescent="0.3">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x14ac:dyDescent="0.3">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x14ac:dyDescent="0.3">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x14ac:dyDescent="0.3">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x14ac:dyDescent="0.3">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x14ac:dyDescent="0.3">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x14ac:dyDescent="0.3">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x14ac:dyDescent="0.3">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x14ac:dyDescent="0.3">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x14ac:dyDescent="0.3">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x14ac:dyDescent="0.3">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x14ac:dyDescent="0.3">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x14ac:dyDescent="0.3">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x14ac:dyDescent="0.3">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x14ac:dyDescent="0.3">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x14ac:dyDescent="0.3">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x14ac:dyDescent="0.3">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x14ac:dyDescent="0.3">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x14ac:dyDescent="0.3">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x14ac:dyDescent="0.3">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x14ac:dyDescent="0.3">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x14ac:dyDescent="0.3">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x14ac:dyDescent="0.3">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x14ac:dyDescent="0.3">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x14ac:dyDescent="0.3">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x14ac:dyDescent="0.3">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x14ac:dyDescent="0.3">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x14ac:dyDescent="0.3">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x14ac:dyDescent="0.3">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x14ac:dyDescent="0.3">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x14ac:dyDescent="0.3">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x14ac:dyDescent="0.3">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x14ac:dyDescent="0.3">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x14ac:dyDescent="0.3">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x14ac:dyDescent="0.3">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x14ac:dyDescent="0.3">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x14ac:dyDescent="0.3">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x14ac:dyDescent="0.3">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x14ac:dyDescent="0.3">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x14ac:dyDescent="0.3">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x14ac:dyDescent="0.3">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x14ac:dyDescent="0.3">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x14ac:dyDescent="0.3">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x14ac:dyDescent="0.3">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x14ac:dyDescent="0.3">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x14ac:dyDescent="0.3">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x14ac:dyDescent="0.3">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x14ac:dyDescent="0.3">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x14ac:dyDescent="0.3">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x14ac:dyDescent="0.3">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x14ac:dyDescent="0.3">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x14ac:dyDescent="0.3">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x14ac:dyDescent="0.3">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x14ac:dyDescent="0.3">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x14ac:dyDescent="0.3">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x14ac:dyDescent="0.3">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x14ac:dyDescent="0.3">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x14ac:dyDescent="0.3">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x14ac:dyDescent="0.3">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x14ac:dyDescent="0.3">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x14ac:dyDescent="0.3">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x14ac:dyDescent="0.3">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x14ac:dyDescent="0.3">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x14ac:dyDescent="0.3">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x14ac:dyDescent="0.3">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x14ac:dyDescent="0.3">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x14ac:dyDescent="0.3">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x14ac:dyDescent="0.3">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x14ac:dyDescent="0.3">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x14ac:dyDescent="0.3">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x14ac:dyDescent="0.3">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x14ac:dyDescent="0.3">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x14ac:dyDescent="0.3">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x14ac:dyDescent="0.3">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x14ac:dyDescent="0.3">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x14ac:dyDescent="0.3">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x14ac:dyDescent="0.3">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x14ac:dyDescent="0.3">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x14ac:dyDescent="0.3">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x14ac:dyDescent="0.3">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x14ac:dyDescent="0.3">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x14ac:dyDescent="0.3">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x14ac:dyDescent="0.3">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x14ac:dyDescent="0.3">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x14ac:dyDescent="0.3">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x14ac:dyDescent="0.3">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x14ac:dyDescent="0.3">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x14ac:dyDescent="0.3">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x14ac:dyDescent="0.3">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x14ac:dyDescent="0.3">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x14ac:dyDescent="0.3">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x14ac:dyDescent="0.3">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x14ac:dyDescent="0.3">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x14ac:dyDescent="0.3">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x14ac:dyDescent="0.3">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x14ac:dyDescent="0.3">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x14ac:dyDescent="0.3">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x14ac:dyDescent="0.3">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x14ac:dyDescent="0.3">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x14ac:dyDescent="0.3">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x14ac:dyDescent="0.3">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x14ac:dyDescent="0.3">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x14ac:dyDescent="0.3">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x14ac:dyDescent="0.3">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x14ac:dyDescent="0.3">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x14ac:dyDescent="0.3">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x14ac:dyDescent="0.3">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x14ac:dyDescent="0.3">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x14ac:dyDescent="0.3">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x14ac:dyDescent="0.3">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x14ac:dyDescent="0.3">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x14ac:dyDescent="0.3">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x14ac:dyDescent="0.3">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x14ac:dyDescent="0.3">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x14ac:dyDescent="0.3">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x14ac:dyDescent="0.3">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x14ac:dyDescent="0.3">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x14ac:dyDescent="0.3">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x14ac:dyDescent="0.3">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x14ac:dyDescent="0.3">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x14ac:dyDescent="0.3">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x14ac:dyDescent="0.3">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x14ac:dyDescent="0.3">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x14ac:dyDescent="0.3">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x14ac:dyDescent="0.3">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x14ac:dyDescent="0.3">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x14ac:dyDescent="0.3">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x14ac:dyDescent="0.3">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x14ac:dyDescent="0.3">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x14ac:dyDescent="0.3">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x14ac:dyDescent="0.3">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x14ac:dyDescent="0.3">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x14ac:dyDescent="0.3">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x14ac:dyDescent="0.3">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x14ac:dyDescent="0.3">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x14ac:dyDescent="0.3">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x14ac:dyDescent="0.3">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x14ac:dyDescent="0.3">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x14ac:dyDescent="0.3">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x14ac:dyDescent="0.3">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x14ac:dyDescent="0.3">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x14ac:dyDescent="0.3">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x14ac:dyDescent="0.3">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x14ac:dyDescent="0.3">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x14ac:dyDescent="0.3">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x14ac:dyDescent="0.3">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x14ac:dyDescent="0.3">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x14ac:dyDescent="0.3">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x14ac:dyDescent="0.3">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x14ac:dyDescent="0.3">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x14ac:dyDescent="0.3">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x14ac:dyDescent="0.3">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x14ac:dyDescent="0.3">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x14ac:dyDescent="0.3">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x14ac:dyDescent="0.3">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x14ac:dyDescent="0.3">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x14ac:dyDescent="0.3">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x14ac:dyDescent="0.3">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x14ac:dyDescent="0.3">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x14ac:dyDescent="0.3">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x14ac:dyDescent="0.3">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x14ac:dyDescent="0.3">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x14ac:dyDescent="0.3">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x14ac:dyDescent="0.3">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x14ac:dyDescent="0.3">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x14ac:dyDescent="0.3">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x14ac:dyDescent="0.3">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x14ac:dyDescent="0.3">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x14ac:dyDescent="0.3">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x14ac:dyDescent="0.3">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x14ac:dyDescent="0.3">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x14ac:dyDescent="0.3">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x14ac:dyDescent="0.3">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x14ac:dyDescent="0.3">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x14ac:dyDescent="0.3">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x14ac:dyDescent="0.3">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x14ac:dyDescent="0.3">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x14ac:dyDescent="0.3">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x14ac:dyDescent="0.3">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x14ac:dyDescent="0.3">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x14ac:dyDescent="0.3">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x14ac:dyDescent="0.3">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x14ac:dyDescent="0.3">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x14ac:dyDescent="0.3">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x14ac:dyDescent="0.3">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x14ac:dyDescent="0.3">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x14ac:dyDescent="0.3">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x14ac:dyDescent="0.3">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x14ac:dyDescent="0.3">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x14ac:dyDescent="0.3">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x14ac:dyDescent="0.3">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x14ac:dyDescent="0.3">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x14ac:dyDescent="0.3">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x14ac:dyDescent="0.3">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x14ac:dyDescent="0.3">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x14ac:dyDescent="0.3">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x14ac:dyDescent="0.3">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x14ac:dyDescent="0.3">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x14ac:dyDescent="0.3">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x14ac:dyDescent="0.3">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x14ac:dyDescent="0.3">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x14ac:dyDescent="0.3">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x14ac:dyDescent="0.3">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x14ac:dyDescent="0.3">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x14ac:dyDescent="0.3">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x14ac:dyDescent="0.3">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x14ac:dyDescent="0.3">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x14ac:dyDescent="0.3">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x14ac:dyDescent="0.3">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x14ac:dyDescent="0.3">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x14ac:dyDescent="0.3">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x14ac:dyDescent="0.3">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x14ac:dyDescent="0.3">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x14ac:dyDescent="0.3">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x14ac:dyDescent="0.3">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x14ac:dyDescent="0.3">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x14ac:dyDescent="0.3">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x14ac:dyDescent="0.3">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x14ac:dyDescent="0.3">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x14ac:dyDescent="0.3">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x14ac:dyDescent="0.3">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x14ac:dyDescent="0.3">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x14ac:dyDescent="0.3">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x14ac:dyDescent="0.3">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x14ac:dyDescent="0.3">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x14ac:dyDescent="0.3">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x14ac:dyDescent="0.3">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x14ac:dyDescent="0.3">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x14ac:dyDescent="0.3">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x14ac:dyDescent="0.3">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x14ac:dyDescent="0.3">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x14ac:dyDescent="0.3">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x14ac:dyDescent="0.3">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x14ac:dyDescent="0.3">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x14ac:dyDescent="0.3">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x14ac:dyDescent="0.3">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x14ac:dyDescent="0.3">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x14ac:dyDescent="0.3">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x14ac:dyDescent="0.3">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x14ac:dyDescent="0.3">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x14ac:dyDescent="0.3">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x14ac:dyDescent="0.3">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x14ac:dyDescent="0.3">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x14ac:dyDescent="0.3">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x14ac:dyDescent="0.3">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x14ac:dyDescent="0.3">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x14ac:dyDescent="0.3">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x14ac:dyDescent="0.3">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x14ac:dyDescent="0.3">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x14ac:dyDescent="0.3">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x14ac:dyDescent="0.3">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x14ac:dyDescent="0.3">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x14ac:dyDescent="0.3">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x14ac:dyDescent="0.3">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x14ac:dyDescent="0.3">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x14ac:dyDescent="0.3">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x14ac:dyDescent="0.3">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x14ac:dyDescent="0.3">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x14ac:dyDescent="0.3">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x14ac:dyDescent="0.3">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x14ac:dyDescent="0.3">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x14ac:dyDescent="0.3">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x14ac:dyDescent="0.3">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x14ac:dyDescent="0.3">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x14ac:dyDescent="0.3">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x14ac:dyDescent="0.3">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x14ac:dyDescent="0.3">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x14ac:dyDescent="0.3">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x14ac:dyDescent="0.3">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x14ac:dyDescent="0.3">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x14ac:dyDescent="0.3">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x14ac:dyDescent="0.3">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x14ac:dyDescent="0.3">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x14ac:dyDescent="0.3">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x14ac:dyDescent="0.3">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x14ac:dyDescent="0.3">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x14ac:dyDescent="0.3">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x14ac:dyDescent="0.3">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x14ac:dyDescent="0.3">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x14ac:dyDescent="0.3">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x14ac:dyDescent="0.3">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x14ac:dyDescent="0.3">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x14ac:dyDescent="0.3">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x14ac:dyDescent="0.3">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x14ac:dyDescent="0.3">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x14ac:dyDescent="0.3">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x14ac:dyDescent="0.3">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x14ac:dyDescent="0.3">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x14ac:dyDescent="0.3">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x14ac:dyDescent="0.3">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x14ac:dyDescent="0.3">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x14ac:dyDescent="0.3">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x14ac:dyDescent="0.3">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x14ac:dyDescent="0.3">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x14ac:dyDescent="0.3">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x14ac:dyDescent="0.3">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x14ac:dyDescent="0.3">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x14ac:dyDescent="0.3">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x14ac:dyDescent="0.3">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x14ac:dyDescent="0.3">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x14ac:dyDescent="0.3">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x14ac:dyDescent="0.3">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x14ac:dyDescent="0.3">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x14ac:dyDescent="0.3">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x14ac:dyDescent="0.3">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x14ac:dyDescent="0.3">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x14ac:dyDescent="0.3">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x14ac:dyDescent="0.3">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x14ac:dyDescent="0.3">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x14ac:dyDescent="0.3">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x14ac:dyDescent="0.3">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x14ac:dyDescent="0.3">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x14ac:dyDescent="0.3">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x14ac:dyDescent="0.3">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x14ac:dyDescent="0.3">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x14ac:dyDescent="0.3">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x14ac:dyDescent="0.3">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x14ac:dyDescent="0.3">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x14ac:dyDescent="0.3">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x14ac:dyDescent="0.3">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x14ac:dyDescent="0.3">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x14ac:dyDescent="0.3">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x14ac:dyDescent="0.3">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x14ac:dyDescent="0.3">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x14ac:dyDescent="0.3">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x14ac:dyDescent="0.3">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x14ac:dyDescent="0.3">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x14ac:dyDescent="0.3">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x14ac:dyDescent="0.3">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x14ac:dyDescent="0.3">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x14ac:dyDescent="0.3">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x14ac:dyDescent="0.3">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x14ac:dyDescent="0.3">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x14ac:dyDescent="0.3">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x14ac:dyDescent="0.3">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x14ac:dyDescent="0.3">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x14ac:dyDescent="0.3">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x14ac:dyDescent="0.3">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x14ac:dyDescent="0.3">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x14ac:dyDescent="0.3">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x14ac:dyDescent="0.3">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x14ac:dyDescent="0.3">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x14ac:dyDescent="0.3">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x14ac:dyDescent="0.3">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x14ac:dyDescent="0.3">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x14ac:dyDescent="0.3">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x14ac:dyDescent="0.3">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x14ac:dyDescent="0.3">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x14ac:dyDescent="0.3">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x14ac:dyDescent="0.3">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x14ac:dyDescent="0.3">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x14ac:dyDescent="0.3">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x14ac:dyDescent="0.3">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x14ac:dyDescent="0.3">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x14ac:dyDescent="0.3">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x14ac:dyDescent="0.3">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x14ac:dyDescent="0.3">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x14ac:dyDescent="0.3">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x14ac:dyDescent="0.3">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x14ac:dyDescent="0.3">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x14ac:dyDescent="0.3">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x14ac:dyDescent="0.3">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x14ac:dyDescent="0.3">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x14ac:dyDescent="0.3">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x14ac:dyDescent="0.3">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x14ac:dyDescent="0.3">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x14ac:dyDescent="0.3">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x14ac:dyDescent="0.3">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x14ac:dyDescent="0.3">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x14ac:dyDescent="0.3">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x14ac:dyDescent="0.3">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x14ac:dyDescent="0.3">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x14ac:dyDescent="0.3">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x14ac:dyDescent="0.3">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x14ac:dyDescent="0.3">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x14ac:dyDescent="0.3">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x14ac:dyDescent="0.3">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x14ac:dyDescent="0.3">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x14ac:dyDescent="0.3">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x14ac:dyDescent="0.3">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x14ac:dyDescent="0.3">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x14ac:dyDescent="0.3">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x14ac:dyDescent="0.3">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x14ac:dyDescent="0.3">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x14ac:dyDescent="0.3">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x14ac:dyDescent="0.3">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x14ac:dyDescent="0.3">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x14ac:dyDescent="0.3">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x14ac:dyDescent="0.3">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x14ac:dyDescent="0.3">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x14ac:dyDescent="0.3">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x14ac:dyDescent="0.3">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x14ac:dyDescent="0.3">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x14ac:dyDescent="0.3">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x14ac:dyDescent="0.3">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x14ac:dyDescent="0.3">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x14ac:dyDescent="0.3">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x14ac:dyDescent="0.3">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x14ac:dyDescent="0.3">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x14ac:dyDescent="0.3">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x14ac:dyDescent="0.3">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x14ac:dyDescent="0.3">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x14ac:dyDescent="0.3">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x14ac:dyDescent="0.3">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x14ac:dyDescent="0.3">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x14ac:dyDescent="0.3">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x14ac:dyDescent="0.3">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x14ac:dyDescent="0.3">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x14ac:dyDescent="0.3">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x14ac:dyDescent="0.3">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x14ac:dyDescent="0.3">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x14ac:dyDescent="0.3">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x14ac:dyDescent="0.3">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x14ac:dyDescent="0.3">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x14ac:dyDescent="0.3">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x14ac:dyDescent="0.3">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x14ac:dyDescent="0.3">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x14ac:dyDescent="0.3">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x14ac:dyDescent="0.3">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x14ac:dyDescent="0.3">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x14ac:dyDescent="0.3">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x14ac:dyDescent="0.3">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x14ac:dyDescent="0.3">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x14ac:dyDescent="0.3">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x14ac:dyDescent="0.3">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x14ac:dyDescent="0.3">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x14ac:dyDescent="0.3">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x14ac:dyDescent="0.3">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x14ac:dyDescent="0.3">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x14ac:dyDescent="0.3">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x14ac:dyDescent="0.3">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x14ac:dyDescent="0.3">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x14ac:dyDescent="0.3">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x14ac:dyDescent="0.3">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x14ac:dyDescent="0.3">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x14ac:dyDescent="0.3">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x14ac:dyDescent="0.3">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x14ac:dyDescent="0.3">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x14ac:dyDescent="0.3">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x14ac:dyDescent="0.3">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x14ac:dyDescent="0.3">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x14ac:dyDescent="0.3">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x14ac:dyDescent="0.3">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x14ac:dyDescent="0.3">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x14ac:dyDescent="0.3">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x14ac:dyDescent="0.3">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x14ac:dyDescent="0.3">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x14ac:dyDescent="0.3">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x14ac:dyDescent="0.3">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x14ac:dyDescent="0.3">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x14ac:dyDescent="0.3">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x14ac:dyDescent="0.3">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x14ac:dyDescent="0.3">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x14ac:dyDescent="0.3">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x14ac:dyDescent="0.3">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x14ac:dyDescent="0.3">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x14ac:dyDescent="0.3">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x14ac:dyDescent="0.3">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x14ac:dyDescent="0.3">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x14ac:dyDescent="0.3">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x14ac:dyDescent="0.3">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x14ac:dyDescent="0.3">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x14ac:dyDescent="0.3">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x14ac:dyDescent="0.3">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x14ac:dyDescent="0.3">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x14ac:dyDescent="0.3">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x14ac:dyDescent="0.3">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x14ac:dyDescent="0.3">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x14ac:dyDescent="0.3">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x14ac:dyDescent="0.3">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x14ac:dyDescent="0.3">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x14ac:dyDescent="0.3">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x14ac:dyDescent="0.3">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x14ac:dyDescent="0.3">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x14ac:dyDescent="0.3">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x14ac:dyDescent="0.3">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x14ac:dyDescent="0.3">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x14ac:dyDescent="0.3">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x14ac:dyDescent="0.3">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x14ac:dyDescent="0.3">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x14ac:dyDescent="0.3">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x14ac:dyDescent="0.3">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x14ac:dyDescent="0.3">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x14ac:dyDescent="0.3">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x14ac:dyDescent="0.3">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x14ac:dyDescent="0.3">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x14ac:dyDescent="0.3">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x14ac:dyDescent="0.3">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x14ac:dyDescent="0.3">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x14ac:dyDescent="0.3">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x14ac:dyDescent="0.3">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x14ac:dyDescent="0.3">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x14ac:dyDescent="0.3">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x14ac:dyDescent="0.3">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x14ac:dyDescent="0.3">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x14ac:dyDescent="0.3">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x14ac:dyDescent="0.3">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x14ac:dyDescent="0.3">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x14ac:dyDescent="0.3">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x14ac:dyDescent="0.3">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x14ac:dyDescent="0.3">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x14ac:dyDescent="0.3">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x14ac:dyDescent="0.3">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x14ac:dyDescent="0.3">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x14ac:dyDescent="0.3">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x14ac:dyDescent="0.3">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x14ac:dyDescent="0.3">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x14ac:dyDescent="0.3">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x14ac:dyDescent="0.3">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x14ac:dyDescent="0.3">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x14ac:dyDescent="0.3">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x14ac:dyDescent="0.3">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x14ac:dyDescent="0.3">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x14ac:dyDescent="0.3">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x14ac:dyDescent="0.3">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x14ac:dyDescent="0.3">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x14ac:dyDescent="0.3">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x14ac:dyDescent="0.3">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x14ac:dyDescent="0.3">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x14ac:dyDescent="0.3">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x14ac:dyDescent="0.3">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x14ac:dyDescent="0.3">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x14ac:dyDescent="0.3">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x14ac:dyDescent="0.3">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x14ac:dyDescent="0.3">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x14ac:dyDescent="0.3">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x14ac:dyDescent="0.3">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x14ac:dyDescent="0.3">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x14ac:dyDescent="0.3">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x14ac:dyDescent="0.3">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x14ac:dyDescent="0.3">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x14ac:dyDescent="0.3">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x14ac:dyDescent="0.3">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x14ac:dyDescent="0.3">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x14ac:dyDescent="0.3">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x14ac:dyDescent="0.3">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x14ac:dyDescent="0.3">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x14ac:dyDescent="0.3">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x14ac:dyDescent="0.3">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x14ac:dyDescent="0.3">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x14ac:dyDescent="0.3">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x14ac:dyDescent="0.3">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x14ac:dyDescent="0.3">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x14ac:dyDescent="0.3">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x14ac:dyDescent="0.3">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x14ac:dyDescent="0.3">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x14ac:dyDescent="0.3">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x14ac:dyDescent="0.3">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x14ac:dyDescent="0.3">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x14ac:dyDescent="0.3">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x14ac:dyDescent="0.3">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x14ac:dyDescent="0.3">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x14ac:dyDescent="0.3">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x14ac:dyDescent="0.3">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x14ac:dyDescent="0.3">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x14ac:dyDescent="0.3">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x14ac:dyDescent="0.3">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x14ac:dyDescent="0.3">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x14ac:dyDescent="0.3">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x14ac:dyDescent="0.3">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x14ac:dyDescent="0.3">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x14ac:dyDescent="0.3">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x14ac:dyDescent="0.3">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x14ac:dyDescent="0.3">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x14ac:dyDescent="0.3">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x14ac:dyDescent="0.3">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x14ac:dyDescent="0.3">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x14ac:dyDescent="0.3">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x14ac:dyDescent="0.3">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x14ac:dyDescent="0.3">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x14ac:dyDescent="0.3">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x14ac:dyDescent="0.3">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x14ac:dyDescent="0.3">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x14ac:dyDescent="0.3">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x14ac:dyDescent="0.3">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x14ac:dyDescent="0.3">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x14ac:dyDescent="0.3">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x14ac:dyDescent="0.3">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x14ac:dyDescent="0.3">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x14ac:dyDescent="0.3">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x14ac:dyDescent="0.3">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x14ac:dyDescent="0.3">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x14ac:dyDescent="0.3">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x14ac:dyDescent="0.3">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x14ac:dyDescent="0.3">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x14ac:dyDescent="0.3">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x14ac:dyDescent="0.3">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x14ac:dyDescent="0.3">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x14ac:dyDescent="0.3">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x14ac:dyDescent="0.3">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x14ac:dyDescent="0.3">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x14ac:dyDescent="0.3">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x14ac:dyDescent="0.3">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x14ac:dyDescent="0.3">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x14ac:dyDescent="0.3">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x14ac:dyDescent="0.3">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x14ac:dyDescent="0.3">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x14ac:dyDescent="0.3">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x14ac:dyDescent="0.3">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x14ac:dyDescent="0.3">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x14ac:dyDescent="0.3">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x14ac:dyDescent="0.3">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x14ac:dyDescent="0.3">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x14ac:dyDescent="0.3">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x14ac:dyDescent="0.3">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x14ac:dyDescent="0.3">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x14ac:dyDescent="0.3">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x14ac:dyDescent="0.3">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x14ac:dyDescent="0.3">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x14ac:dyDescent="0.3">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x14ac:dyDescent="0.3">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x14ac:dyDescent="0.3">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x14ac:dyDescent="0.3">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x14ac:dyDescent="0.3">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x14ac:dyDescent="0.3">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x14ac:dyDescent="0.3">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x14ac:dyDescent="0.3">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x14ac:dyDescent="0.3">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x14ac:dyDescent="0.3">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x14ac:dyDescent="0.3">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x14ac:dyDescent="0.3">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x14ac:dyDescent="0.3">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x14ac:dyDescent="0.3">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x14ac:dyDescent="0.3">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x14ac:dyDescent="0.3">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x14ac:dyDescent="0.3">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x14ac:dyDescent="0.3">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x14ac:dyDescent="0.3">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x14ac:dyDescent="0.3">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x14ac:dyDescent="0.3">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x14ac:dyDescent="0.3">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x14ac:dyDescent="0.3">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x14ac:dyDescent="0.3">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x14ac:dyDescent="0.3">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x14ac:dyDescent="0.3">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x14ac:dyDescent="0.3">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x14ac:dyDescent="0.3">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x14ac:dyDescent="0.3">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x14ac:dyDescent="0.3">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x14ac:dyDescent="0.3">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x14ac:dyDescent="0.3">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x14ac:dyDescent="0.3">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x14ac:dyDescent="0.3">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x14ac:dyDescent="0.3">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x14ac:dyDescent="0.3">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x14ac:dyDescent="0.3">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x14ac:dyDescent="0.3">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x14ac:dyDescent="0.3">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x14ac:dyDescent="0.3">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x14ac:dyDescent="0.3">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x14ac:dyDescent="0.3">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x14ac:dyDescent="0.3">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x14ac:dyDescent="0.3">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x14ac:dyDescent="0.3">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x14ac:dyDescent="0.3">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x14ac:dyDescent="0.3">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x14ac:dyDescent="0.3">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x14ac:dyDescent="0.3">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x14ac:dyDescent="0.3">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x14ac:dyDescent="0.3">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x14ac:dyDescent="0.3">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x14ac:dyDescent="0.3">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x14ac:dyDescent="0.3">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x14ac:dyDescent="0.3">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x14ac:dyDescent="0.3">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x14ac:dyDescent="0.3">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x14ac:dyDescent="0.3">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x14ac:dyDescent="0.3">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x14ac:dyDescent="0.3">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x14ac:dyDescent="0.3">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x14ac:dyDescent="0.3">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x14ac:dyDescent="0.3">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x14ac:dyDescent="0.3">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x14ac:dyDescent="0.3">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x14ac:dyDescent="0.3">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x14ac:dyDescent="0.3">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x14ac:dyDescent="0.3">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x14ac:dyDescent="0.3">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x14ac:dyDescent="0.3">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x14ac:dyDescent="0.3">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x14ac:dyDescent="0.3">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x14ac:dyDescent="0.3">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x14ac:dyDescent="0.3">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x14ac:dyDescent="0.3">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x14ac:dyDescent="0.3">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x14ac:dyDescent="0.3">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x14ac:dyDescent="0.3">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x14ac:dyDescent="0.3">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x14ac:dyDescent="0.3">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x14ac:dyDescent="0.3">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x14ac:dyDescent="0.3">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x14ac:dyDescent="0.3">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x14ac:dyDescent="0.3">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x14ac:dyDescent="0.3">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x14ac:dyDescent="0.3">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x14ac:dyDescent="0.3">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x14ac:dyDescent="0.3">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x14ac:dyDescent="0.3">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x14ac:dyDescent="0.3">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x14ac:dyDescent="0.3">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x14ac:dyDescent="0.3">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x14ac:dyDescent="0.3">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x14ac:dyDescent="0.3">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x14ac:dyDescent="0.3">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x14ac:dyDescent="0.3">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x14ac:dyDescent="0.3">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x14ac:dyDescent="0.3">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x14ac:dyDescent="0.3">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x14ac:dyDescent="0.3">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x14ac:dyDescent="0.3">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x14ac:dyDescent="0.3">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x14ac:dyDescent="0.3">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x14ac:dyDescent="0.3">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x14ac:dyDescent="0.3">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x14ac:dyDescent="0.3">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x14ac:dyDescent="0.3">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x14ac:dyDescent="0.3">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x14ac:dyDescent="0.3">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x14ac:dyDescent="0.3">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x14ac:dyDescent="0.3">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x14ac:dyDescent="0.3">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x14ac:dyDescent="0.3">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x14ac:dyDescent="0.3">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x14ac:dyDescent="0.3">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x14ac:dyDescent="0.3">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x14ac:dyDescent="0.3">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x14ac:dyDescent="0.3">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x14ac:dyDescent="0.3">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x14ac:dyDescent="0.3">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x14ac:dyDescent="0.3">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x14ac:dyDescent="0.3">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x14ac:dyDescent="0.3">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x14ac:dyDescent="0.3">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x14ac:dyDescent="0.3">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x14ac:dyDescent="0.3">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x14ac:dyDescent="0.3">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x14ac:dyDescent="0.3">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x14ac:dyDescent="0.3">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x14ac:dyDescent="0.3">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x14ac:dyDescent="0.3">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x14ac:dyDescent="0.3">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x14ac:dyDescent="0.3">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x14ac:dyDescent="0.3">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x14ac:dyDescent="0.3">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x14ac:dyDescent="0.3">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x14ac:dyDescent="0.3">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x14ac:dyDescent="0.3">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x14ac:dyDescent="0.3">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x14ac:dyDescent="0.3">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x14ac:dyDescent="0.3">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x14ac:dyDescent="0.3">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x14ac:dyDescent="0.3">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x14ac:dyDescent="0.3">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x14ac:dyDescent="0.3">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x14ac:dyDescent="0.3">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x14ac:dyDescent="0.3">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x14ac:dyDescent="0.3">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x14ac:dyDescent="0.3">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x14ac:dyDescent="0.3">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x14ac:dyDescent="0.3">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x14ac:dyDescent="0.3">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x14ac:dyDescent="0.3">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x14ac:dyDescent="0.3">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x14ac:dyDescent="0.3">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x14ac:dyDescent="0.3">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x14ac:dyDescent="0.3">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x14ac:dyDescent="0.3">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x14ac:dyDescent="0.3">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x14ac:dyDescent="0.3">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x14ac:dyDescent="0.3">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x14ac:dyDescent="0.3">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x14ac:dyDescent="0.3">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x14ac:dyDescent="0.3">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x14ac:dyDescent="0.3">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x14ac:dyDescent="0.3">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x14ac:dyDescent="0.3">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x14ac:dyDescent="0.3">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x14ac:dyDescent="0.3">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x14ac:dyDescent="0.3">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x14ac:dyDescent="0.3">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x14ac:dyDescent="0.3">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x14ac:dyDescent="0.3">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x14ac:dyDescent="0.3">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x14ac:dyDescent="0.3">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x14ac:dyDescent="0.3">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x14ac:dyDescent="0.3">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x14ac:dyDescent="0.3">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x14ac:dyDescent="0.3">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x14ac:dyDescent="0.3">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x14ac:dyDescent="0.3">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x14ac:dyDescent="0.3">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x14ac:dyDescent="0.3">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x14ac:dyDescent="0.3">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x14ac:dyDescent="0.3">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x14ac:dyDescent="0.3">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x14ac:dyDescent="0.3">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x14ac:dyDescent="0.3">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x14ac:dyDescent="0.3">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x14ac:dyDescent="0.3">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x14ac:dyDescent="0.3">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x14ac:dyDescent="0.3">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x14ac:dyDescent="0.3">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x14ac:dyDescent="0.3">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x14ac:dyDescent="0.3">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x14ac:dyDescent="0.3">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x14ac:dyDescent="0.3">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x14ac:dyDescent="0.3">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x14ac:dyDescent="0.3">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x14ac:dyDescent="0.3">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x14ac:dyDescent="0.3">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x14ac:dyDescent="0.3">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x14ac:dyDescent="0.3">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x14ac:dyDescent="0.3">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x14ac:dyDescent="0.3">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x14ac:dyDescent="0.3">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x14ac:dyDescent="0.3">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x14ac:dyDescent="0.3">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x14ac:dyDescent="0.3">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x14ac:dyDescent="0.3">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x14ac:dyDescent="0.3">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x14ac:dyDescent="0.3">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x14ac:dyDescent="0.3">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x14ac:dyDescent="0.3">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x14ac:dyDescent="0.3">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x14ac:dyDescent="0.3">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x14ac:dyDescent="0.3">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x14ac:dyDescent="0.3">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x14ac:dyDescent="0.3">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x14ac:dyDescent="0.3">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x14ac:dyDescent="0.3">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x14ac:dyDescent="0.3">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x14ac:dyDescent="0.3">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x14ac:dyDescent="0.3">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x14ac:dyDescent="0.3">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x14ac:dyDescent="0.3">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x14ac:dyDescent="0.3">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x14ac:dyDescent="0.3">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x14ac:dyDescent="0.3">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x14ac:dyDescent="0.3">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x14ac:dyDescent="0.3">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x14ac:dyDescent="0.3">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x14ac:dyDescent="0.3">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x14ac:dyDescent="0.3">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x14ac:dyDescent="0.3">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x14ac:dyDescent="0.3">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x14ac:dyDescent="0.3">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x14ac:dyDescent="0.3">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x14ac:dyDescent="0.3">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x14ac:dyDescent="0.3">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x14ac:dyDescent="0.3">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x14ac:dyDescent="0.3">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x14ac:dyDescent="0.3">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x14ac:dyDescent="0.3">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x14ac:dyDescent="0.3">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x14ac:dyDescent="0.3">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x14ac:dyDescent="0.3">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x14ac:dyDescent="0.3">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x14ac:dyDescent="0.3">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x14ac:dyDescent="0.3">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x14ac:dyDescent="0.3">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x14ac:dyDescent="0.3">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x14ac:dyDescent="0.3">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x14ac:dyDescent="0.3">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x14ac:dyDescent="0.3">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x14ac:dyDescent="0.3">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x14ac:dyDescent="0.3">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x14ac:dyDescent="0.3">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x14ac:dyDescent="0.3">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x14ac:dyDescent="0.3">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x14ac:dyDescent="0.3">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x14ac:dyDescent="0.3">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x14ac:dyDescent="0.3">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x14ac:dyDescent="0.3">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x14ac:dyDescent="0.3">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x14ac:dyDescent="0.3">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x14ac:dyDescent="0.3">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x14ac:dyDescent="0.3">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x14ac:dyDescent="0.3">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x14ac:dyDescent="0.3">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x14ac:dyDescent="0.3">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x14ac:dyDescent="0.3">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x14ac:dyDescent="0.3">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x14ac:dyDescent="0.3">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x14ac:dyDescent="0.3">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x14ac:dyDescent="0.3">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x14ac:dyDescent="0.3">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x14ac:dyDescent="0.3">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x14ac:dyDescent="0.3">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x14ac:dyDescent="0.3">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x14ac:dyDescent="0.3">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x14ac:dyDescent="0.3">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x14ac:dyDescent="0.3">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x14ac:dyDescent="0.3">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x14ac:dyDescent="0.3">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x14ac:dyDescent="0.3">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x14ac:dyDescent="0.3">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x14ac:dyDescent="0.3">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x14ac:dyDescent="0.3">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x14ac:dyDescent="0.3">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x14ac:dyDescent="0.3">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x14ac:dyDescent="0.3">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x14ac:dyDescent="0.3">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x14ac:dyDescent="0.3">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x14ac:dyDescent="0.3">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x14ac:dyDescent="0.3">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x14ac:dyDescent="0.3">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x14ac:dyDescent="0.3">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x14ac:dyDescent="0.3">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x14ac:dyDescent="0.3">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x14ac:dyDescent="0.3">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x14ac:dyDescent="0.3">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x14ac:dyDescent="0.3">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x14ac:dyDescent="0.3">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x14ac:dyDescent="0.3">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x14ac:dyDescent="0.3">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x14ac:dyDescent="0.3">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x14ac:dyDescent="0.3">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x14ac:dyDescent="0.3">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x14ac:dyDescent="0.3">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x14ac:dyDescent="0.3">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x14ac:dyDescent="0.3">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x14ac:dyDescent="0.3">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x14ac:dyDescent="0.3">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x14ac:dyDescent="0.3">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x14ac:dyDescent="0.3">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x14ac:dyDescent="0.3">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x14ac:dyDescent="0.3">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x14ac:dyDescent="0.3">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x14ac:dyDescent="0.3">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x14ac:dyDescent="0.3">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x14ac:dyDescent="0.3">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x14ac:dyDescent="0.3">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x14ac:dyDescent="0.3">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x14ac:dyDescent="0.3">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x14ac:dyDescent="0.3">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x14ac:dyDescent="0.3">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x14ac:dyDescent="0.3">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x14ac:dyDescent="0.3">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x14ac:dyDescent="0.3">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x14ac:dyDescent="0.3">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x14ac:dyDescent="0.3">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x14ac:dyDescent="0.3">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x14ac:dyDescent="0.3">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x14ac:dyDescent="0.3">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x14ac:dyDescent="0.3">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x14ac:dyDescent="0.3">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x14ac:dyDescent="0.3">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x14ac:dyDescent="0.3">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x14ac:dyDescent="0.3">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x14ac:dyDescent="0.3">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x14ac:dyDescent="0.3">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x14ac:dyDescent="0.3">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x14ac:dyDescent="0.3">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x14ac:dyDescent="0.3">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x14ac:dyDescent="0.3">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x14ac:dyDescent="0.3">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x14ac:dyDescent="0.3">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x14ac:dyDescent="0.3">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x14ac:dyDescent="0.3">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x14ac:dyDescent="0.3">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x14ac:dyDescent="0.3">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x14ac:dyDescent="0.3">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x14ac:dyDescent="0.3">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x14ac:dyDescent="0.3">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x14ac:dyDescent="0.3">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x14ac:dyDescent="0.3">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x14ac:dyDescent="0.3">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x14ac:dyDescent="0.3">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x14ac:dyDescent="0.3">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x14ac:dyDescent="0.3">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x14ac:dyDescent="0.3">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x14ac:dyDescent="0.3">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x14ac:dyDescent="0.3">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x14ac:dyDescent="0.3">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x14ac:dyDescent="0.3">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x14ac:dyDescent="0.3">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x14ac:dyDescent="0.3">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x14ac:dyDescent="0.3">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x14ac:dyDescent="0.3">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x14ac:dyDescent="0.3">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x14ac:dyDescent="0.3">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x14ac:dyDescent="0.3">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x14ac:dyDescent="0.3">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x14ac:dyDescent="0.3">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x14ac:dyDescent="0.3">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x14ac:dyDescent="0.3">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x14ac:dyDescent="0.3">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x14ac:dyDescent="0.3">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x14ac:dyDescent="0.3">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x14ac:dyDescent="0.3">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x14ac:dyDescent="0.3">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x14ac:dyDescent="0.3">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x14ac:dyDescent="0.3">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x14ac:dyDescent="0.3">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x14ac:dyDescent="0.3">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x14ac:dyDescent="0.3">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x14ac:dyDescent="0.3">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x14ac:dyDescent="0.3">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x14ac:dyDescent="0.3">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x14ac:dyDescent="0.3">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x14ac:dyDescent="0.3">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x14ac:dyDescent="0.3">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x14ac:dyDescent="0.3">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x14ac:dyDescent="0.3">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x14ac:dyDescent="0.3">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x14ac:dyDescent="0.3">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x14ac:dyDescent="0.3">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x14ac:dyDescent="0.3">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x14ac:dyDescent="0.3">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x14ac:dyDescent="0.3">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x14ac:dyDescent="0.3">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x14ac:dyDescent="0.3">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x14ac:dyDescent="0.3">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x14ac:dyDescent="0.3">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x14ac:dyDescent="0.3">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x14ac:dyDescent="0.3">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x14ac:dyDescent="0.3">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x14ac:dyDescent="0.3">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x14ac:dyDescent="0.3">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x14ac:dyDescent="0.3">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x14ac:dyDescent="0.3">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x14ac:dyDescent="0.3">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x14ac:dyDescent="0.3">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x14ac:dyDescent="0.3">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x14ac:dyDescent="0.3">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x14ac:dyDescent="0.3">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x14ac:dyDescent="0.3">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x14ac:dyDescent="0.3">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x14ac:dyDescent="0.3">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x14ac:dyDescent="0.3">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x14ac:dyDescent="0.3">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x14ac:dyDescent="0.3">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x14ac:dyDescent="0.3">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x14ac:dyDescent="0.3">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x14ac:dyDescent="0.3">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x14ac:dyDescent="0.3">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x14ac:dyDescent="0.3">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x14ac:dyDescent="0.3">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x14ac:dyDescent="0.3">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x14ac:dyDescent="0.3">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x14ac:dyDescent="0.3">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x14ac:dyDescent="0.3">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x14ac:dyDescent="0.3">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x14ac:dyDescent="0.3">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x14ac:dyDescent="0.3">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x14ac:dyDescent="0.3">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x14ac:dyDescent="0.3">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x14ac:dyDescent="0.3">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x14ac:dyDescent="0.3">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x14ac:dyDescent="0.3">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x14ac:dyDescent="0.3">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x14ac:dyDescent="0.3">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x14ac:dyDescent="0.3">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x14ac:dyDescent="0.3">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x14ac:dyDescent="0.3">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x14ac:dyDescent="0.3">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x14ac:dyDescent="0.3">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x14ac:dyDescent="0.3">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x14ac:dyDescent="0.3">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x14ac:dyDescent="0.3">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x14ac:dyDescent="0.3">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x14ac:dyDescent="0.3">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x14ac:dyDescent="0.3">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x14ac:dyDescent="0.3">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x14ac:dyDescent="0.3">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x14ac:dyDescent="0.3">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x14ac:dyDescent="0.3">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x14ac:dyDescent="0.3">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x14ac:dyDescent="0.3">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x14ac:dyDescent="0.3">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x14ac:dyDescent="0.3">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x14ac:dyDescent="0.3">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x14ac:dyDescent="0.3">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x14ac:dyDescent="0.3">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x14ac:dyDescent="0.3">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x14ac:dyDescent="0.3">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x14ac:dyDescent="0.3">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x14ac:dyDescent="0.3">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x14ac:dyDescent="0.3">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x14ac:dyDescent="0.3">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x14ac:dyDescent="0.3">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x14ac:dyDescent="0.3">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x14ac:dyDescent="0.3">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x14ac:dyDescent="0.3">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x14ac:dyDescent="0.3">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x14ac:dyDescent="0.3">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x14ac:dyDescent="0.3">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x14ac:dyDescent="0.3">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x14ac:dyDescent="0.3">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x14ac:dyDescent="0.3">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x14ac:dyDescent="0.3">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x14ac:dyDescent="0.3">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x14ac:dyDescent="0.3">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x14ac:dyDescent="0.3">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x14ac:dyDescent="0.3">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x14ac:dyDescent="0.3">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x14ac:dyDescent="0.3">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x14ac:dyDescent="0.3">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x14ac:dyDescent="0.3">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x14ac:dyDescent="0.3">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x14ac:dyDescent="0.3">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x14ac:dyDescent="0.3">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x14ac:dyDescent="0.3">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x14ac:dyDescent="0.3">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x14ac:dyDescent="0.3">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x14ac:dyDescent="0.3">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x14ac:dyDescent="0.3">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x14ac:dyDescent="0.3">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x14ac:dyDescent="0.3">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x14ac:dyDescent="0.3">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x14ac:dyDescent="0.3">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x14ac:dyDescent="0.3">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x14ac:dyDescent="0.3">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x14ac:dyDescent="0.3">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x14ac:dyDescent="0.3">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x14ac:dyDescent="0.3">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x14ac:dyDescent="0.3">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x14ac:dyDescent="0.3">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x14ac:dyDescent="0.3">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x14ac:dyDescent="0.3">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x14ac:dyDescent="0.3">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x14ac:dyDescent="0.3">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x14ac:dyDescent="0.3">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x14ac:dyDescent="0.3">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x14ac:dyDescent="0.3">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x14ac:dyDescent="0.3">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x14ac:dyDescent="0.3">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x14ac:dyDescent="0.3">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x14ac:dyDescent="0.3">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x14ac:dyDescent="0.3">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x14ac:dyDescent="0.3">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x14ac:dyDescent="0.3">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x14ac:dyDescent="0.3">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x14ac:dyDescent="0.3">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x14ac:dyDescent="0.3">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x14ac:dyDescent="0.3">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x14ac:dyDescent="0.3">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x14ac:dyDescent="0.3">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x14ac:dyDescent="0.3">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x14ac:dyDescent="0.3">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x14ac:dyDescent="0.3">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x14ac:dyDescent="0.3">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x14ac:dyDescent="0.3">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x14ac:dyDescent="0.3">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x14ac:dyDescent="0.3">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x14ac:dyDescent="0.3">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x14ac:dyDescent="0.3">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x14ac:dyDescent="0.3">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x14ac:dyDescent="0.3">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x14ac:dyDescent="0.3">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x14ac:dyDescent="0.3">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x14ac:dyDescent="0.3">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x14ac:dyDescent="0.3">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x14ac:dyDescent="0.3">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x14ac:dyDescent="0.3">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x14ac:dyDescent="0.3">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x14ac:dyDescent="0.3">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x14ac:dyDescent="0.3">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x14ac:dyDescent="0.3">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x14ac:dyDescent="0.3">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x14ac:dyDescent="0.3">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x14ac:dyDescent="0.3">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x14ac:dyDescent="0.3">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x14ac:dyDescent="0.3">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x14ac:dyDescent="0.3">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x14ac:dyDescent="0.3">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x14ac:dyDescent="0.3">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x14ac:dyDescent="0.3">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x14ac:dyDescent="0.3">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x14ac:dyDescent="0.3">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x14ac:dyDescent="0.3">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x14ac:dyDescent="0.3">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x14ac:dyDescent="0.3">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x14ac:dyDescent="0.3">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x14ac:dyDescent="0.3">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x14ac:dyDescent="0.3">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x14ac:dyDescent="0.3">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x14ac:dyDescent="0.3">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x14ac:dyDescent="0.3">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x14ac:dyDescent="0.3">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x14ac:dyDescent="0.3">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x14ac:dyDescent="0.3">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x14ac:dyDescent="0.3">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x14ac:dyDescent="0.3">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x14ac:dyDescent="0.3">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x14ac:dyDescent="0.3">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x14ac:dyDescent="0.3">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x14ac:dyDescent="0.3">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x14ac:dyDescent="0.3">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x14ac:dyDescent="0.3">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x14ac:dyDescent="0.3">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x14ac:dyDescent="0.3">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x14ac:dyDescent="0.3">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x14ac:dyDescent="0.3">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x14ac:dyDescent="0.3">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x14ac:dyDescent="0.3">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x14ac:dyDescent="0.3">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x14ac:dyDescent="0.3">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x14ac:dyDescent="0.3">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x14ac:dyDescent="0.3">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x14ac:dyDescent="0.3">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x14ac:dyDescent="0.3">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x14ac:dyDescent="0.3">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x14ac:dyDescent="0.3">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x14ac:dyDescent="0.3">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x14ac:dyDescent="0.3">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x14ac:dyDescent="0.3">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x14ac:dyDescent="0.3">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x14ac:dyDescent="0.3">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x14ac:dyDescent="0.3">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x14ac:dyDescent="0.3">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x14ac:dyDescent="0.3">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x14ac:dyDescent="0.3">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x14ac:dyDescent="0.3">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x14ac:dyDescent="0.3">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x14ac:dyDescent="0.3">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x14ac:dyDescent="0.3">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x14ac:dyDescent="0.3">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x14ac:dyDescent="0.3">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x14ac:dyDescent="0.3">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x14ac:dyDescent="0.3">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x14ac:dyDescent="0.3">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x14ac:dyDescent="0.3">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x14ac:dyDescent="0.3">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x14ac:dyDescent="0.3">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x14ac:dyDescent="0.3">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x14ac:dyDescent="0.3">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x14ac:dyDescent="0.3">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x14ac:dyDescent="0.3">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x14ac:dyDescent="0.3">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x14ac:dyDescent="0.3">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x14ac:dyDescent="0.3">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x14ac:dyDescent="0.3">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x14ac:dyDescent="0.3">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x14ac:dyDescent="0.3">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x14ac:dyDescent="0.3">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x14ac:dyDescent="0.3">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x14ac:dyDescent="0.3">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x14ac:dyDescent="0.3">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x14ac:dyDescent="0.3">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x14ac:dyDescent="0.3">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x14ac:dyDescent="0.3">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x14ac:dyDescent="0.3">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x14ac:dyDescent="0.3">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x14ac:dyDescent="0.3">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x14ac:dyDescent="0.3">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x14ac:dyDescent="0.3">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x14ac:dyDescent="0.3">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x14ac:dyDescent="0.3">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x14ac:dyDescent="0.3">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x14ac:dyDescent="0.3">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x14ac:dyDescent="0.3">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x14ac:dyDescent="0.3">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x14ac:dyDescent="0.3">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x14ac:dyDescent="0.3">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x14ac:dyDescent="0.3">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x14ac:dyDescent="0.3">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x14ac:dyDescent="0.3">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x14ac:dyDescent="0.3">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x14ac:dyDescent="0.3">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x14ac:dyDescent="0.3">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x14ac:dyDescent="0.3">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x14ac:dyDescent="0.3">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x14ac:dyDescent="0.3">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x14ac:dyDescent="0.3">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x14ac:dyDescent="0.3">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x14ac:dyDescent="0.3">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x14ac:dyDescent="0.3">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x14ac:dyDescent="0.3">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x14ac:dyDescent="0.3">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x14ac:dyDescent="0.3">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x14ac:dyDescent="0.3">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x14ac:dyDescent="0.3">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x14ac:dyDescent="0.3">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x14ac:dyDescent="0.3">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x14ac:dyDescent="0.3">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x14ac:dyDescent="0.3">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x14ac:dyDescent="0.3">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x14ac:dyDescent="0.3">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x14ac:dyDescent="0.3">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x14ac:dyDescent="0.3">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x14ac:dyDescent="0.3">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x14ac:dyDescent="0.3">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x14ac:dyDescent="0.3">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x14ac:dyDescent="0.3">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x14ac:dyDescent="0.3">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x14ac:dyDescent="0.3">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x14ac:dyDescent="0.3">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x14ac:dyDescent="0.3">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x14ac:dyDescent="0.3">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x14ac:dyDescent="0.3">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x14ac:dyDescent="0.3">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x14ac:dyDescent="0.3">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x14ac:dyDescent="0.3">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x14ac:dyDescent="0.3">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x14ac:dyDescent="0.3">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x14ac:dyDescent="0.3">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x14ac:dyDescent="0.3">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x14ac:dyDescent="0.3">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x14ac:dyDescent="0.3">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x14ac:dyDescent="0.3">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x14ac:dyDescent="0.3">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x14ac:dyDescent="0.3">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x14ac:dyDescent="0.3">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x14ac:dyDescent="0.3">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x14ac:dyDescent="0.3">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x14ac:dyDescent="0.3">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x14ac:dyDescent="0.3">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x14ac:dyDescent="0.3">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x14ac:dyDescent="0.3">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x14ac:dyDescent="0.3">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x14ac:dyDescent="0.3">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x14ac:dyDescent="0.3">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x14ac:dyDescent="0.3">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x14ac:dyDescent="0.3">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x14ac:dyDescent="0.3">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x14ac:dyDescent="0.3">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x14ac:dyDescent="0.3">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x14ac:dyDescent="0.3">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x14ac:dyDescent="0.3">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x14ac:dyDescent="0.3">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x14ac:dyDescent="0.3">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x14ac:dyDescent="0.3">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x14ac:dyDescent="0.3">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x14ac:dyDescent="0.3">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x14ac:dyDescent="0.3">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x14ac:dyDescent="0.3">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x14ac:dyDescent="0.3">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x14ac:dyDescent="0.3">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x14ac:dyDescent="0.3">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x14ac:dyDescent="0.3">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x14ac:dyDescent="0.3">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x14ac:dyDescent="0.3">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x14ac:dyDescent="0.3">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x14ac:dyDescent="0.3">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x14ac:dyDescent="0.3">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x14ac:dyDescent="0.3">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x14ac:dyDescent="0.3">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x14ac:dyDescent="0.3">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x14ac:dyDescent="0.3">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x14ac:dyDescent="0.3">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x14ac:dyDescent="0.3">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x14ac:dyDescent="0.3">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x14ac:dyDescent="0.3">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x14ac:dyDescent="0.3">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x14ac:dyDescent="0.3">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x14ac:dyDescent="0.3">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x14ac:dyDescent="0.3">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x14ac:dyDescent="0.3">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x14ac:dyDescent="0.3">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x14ac:dyDescent="0.3">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x14ac:dyDescent="0.3">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x14ac:dyDescent="0.3">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x14ac:dyDescent="0.3">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x14ac:dyDescent="0.3">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x14ac:dyDescent="0.3">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x14ac:dyDescent="0.3">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x14ac:dyDescent="0.3">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x14ac:dyDescent="0.3">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x14ac:dyDescent="0.3">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x14ac:dyDescent="0.3">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x14ac:dyDescent="0.3">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x14ac:dyDescent="0.3">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x14ac:dyDescent="0.3">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x14ac:dyDescent="0.3">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x14ac:dyDescent="0.3">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x14ac:dyDescent="0.3">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x14ac:dyDescent="0.3">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x14ac:dyDescent="0.3">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x14ac:dyDescent="0.3">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x14ac:dyDescent="0.3">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x14ac:dyDescent="0.3">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x14ac:dyDescent="0.3">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x14ac:dyDescent="0.3">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x14ac:dyDescent="0.3">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x14ac:dyDescent="0.3">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x14ac:dyDescent="0.3">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x14ac:dyDescent="0.3">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x14ac:dyDescent="0.3">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x14ac:dyDescent="0.3">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x14ac:dyDescent="0.3">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x14ac:dyDescent="0.3">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x14ac:dyDescent="0.3">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x14ac:dyDescent="0.3">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x14ac:dyDescent="0.3">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x14ac:dyDescent="0.3">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x14ac:dyDescent="0.3">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x14ac:dyDescent="0.3">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x14ac:dyDescent="0.3">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x14ac:dyDescent="0.3">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x14ac:dyDescent="0.3">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x14ac:dyDescent="0.3">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x14ac:dyDescent="0.3">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x14ac:dyDescent="0.3">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x14ac:dyDescent="0.3">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x14ac:dyDescent="0.3">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x14ac:dyDescent="0.3">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x14ac:dyDescent="0.3">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x14ac:dyDescent="0.3">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x14ac:dyDescent="0.3">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x14ac:dyDescent="0.3">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x14ac:dyDescent="0.3">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x14ac:dyDescent="0.3">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x14ac:dyDescent="0.3">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x14ac:dyDescent="0.3">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x14ac:dyDescent="0.3">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x14ac:dyDescent="0.3">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x14ac:dyDescent="0.3">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x14ac:dyDescent="0.3">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x14ac:dyDescent="0.3">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x14ac:dyDescent="0.3">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x14ac:dyDescent="0.3">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x14ac:dyDescent="0.3">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x14ac:dyDescent="0.3">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x14ac:dyDescent="0.3">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x14ac:dyDescent="0.3">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x14ac:dyDescent="0.3">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x14ac:dyDescent="0.3">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x14ac:dyDescent="0.3">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x14ac:dyDescent="0.3">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x14ac:dyDescent="0.3">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x14ac:dyDescent="0.3">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x14ac:dyDescent="0.3">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x14ac:dyDescent="0.3">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x14ac:dyDescent="0.3">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x14ac:dyDescent="0.3">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x14ac:dyDescent="0.3">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x14ac:dyDescent="0.3">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x14ac:dyDescent="0.3">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x14ac:dyDescent="0.3">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x14ac:dyDescent="0.3">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x14ac:dyDescent="0.3">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x14ac:dyDescent="0.3">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x14ac:dyDescent="0.3">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x14ac:dyDescent="0.3">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x14ac:dyDescent="0.3">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x14ac:dyDescent="0.3">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x14ac:dyDescent="0.3">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x14ac:dyDescent="0.3">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x14ac:dyDescent="0.3">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x14ac:dyDescent="0.3">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x14ac:dyDescent="0.3">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x14ac:dyDescent="0.3">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x14ac:dyDescent="0.3">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x14ac:dyDescent="0.3">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x14ac:dyDescent="0.3">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x14ac:dyDescent="0.3">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x14ac:dyDescent="0.3">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x14ac:dyDescent="0.3">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x14ac:dyDescent="0.3">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x14ac:dyDescent="0.3">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x14ac:dyDescent="0.3">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x14ac:dyDescent="0.3">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x14ac:dyDescent="0.3">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x14ac:dyDescent="0.3">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x14ac:dyDescent="0.3">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x14ac:dyDescent="0.3">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x14ac:dyDescent="0.3">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x14ac:dyDescent="0.3">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x14ac:dyDescent="0.3">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x14ac:dyDescent="0.3">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x14ac:dyDescent="0.3">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x14ac:dyDescent="0.3">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x14ac:dyDescent="0.3">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x14ac:dyDescent="0.3">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x14ac:dyDescent="0.3">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x14ac:dyDescent="0.3">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x14ac:dyDescent="0.3">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x14ac:dyDescent="0.3">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x14ac:dyDescent="0.3">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x14ac:dyDescent="0.3">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x14ac:dyDescent="0.3">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x14ac:dyDescent="0.3">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x14ac:dyDescent="0.3">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x14ac:dyDescent="0.3">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x14ac:dyDescent="0.3">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x14ac:dyDescent="0.3">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x14ac:dyDescent="0.3">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x14ac:dyDescent="0.3">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x14ac:dyDescent="0.3">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x14ac:dyDescent="0.3">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x14ac:dyDescent="0.3">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x14ac:dyDescent="0.3">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x14ac:dyDescent="0.3">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x14ac:dyDescent="0.3">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x14ac:dyDescent="0.3">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x14ac:dyDescent="0.3">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x14ac:dyDescent="0.3">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x14ac:dyDescent="0.3">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x14ac:dyDescent="0.3">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x14ac:dyDescent="0.3">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x14ac:dyDescent="0.3">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x14ac:dyDescent="0.3">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x14ac:dyDescent="0.3">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x14ac:dyDescent="0.3">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x14ac:dyDescent="0.3">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x14ac:dyDescent="0.3">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x14ac:dyDescent="0.3">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x14ac:dyDescent="0.3">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x14ac:dyDescent="0.3">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x14ac:dyDescent="0.3">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x14ac:dyDescent="0.3">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x14ac:dyDescent="0.3">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x14ac:dyDescent="0.3">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x14ac:dyDescent="0.3">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x14ac:dyDescent="0.3">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x14ac:dyDescent="0.3">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x14ac:dyDescent="0.3">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x14ac:dyDescent="0.3">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x14ac:dyDescent="0.3">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x14ac:dyDescent="0.3">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x14ac:dyDescent="0.3">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x14ac:dyDescent="0.3">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x14ac:dyDescent="0.3">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x14ac:dyDescent="0.3">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x14ac:dyDescent="0.3">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x14ac:dyDescent="0.3">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x14ac:dyDescent="0.3">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x14ac:dyDescent="0.3">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x14ac:dyDescent="0.3">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x14ac:dyDescent="0.3">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x14ac:dyDescent="0.3">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x14ac:dyDescent="0.3">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x14ac:dyDescent="0.3">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x14ac:dyDescent="0.3">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x14ac:dyDescent="0.3">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x14ac:dyDescent="0.3">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x14ac:dyDescent="0.3">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x14ac:dyDescent="0.3">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x14ac:dyDescent="0.3">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x14ac:dyDescent="0.3">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x14ac:dyDescent="0.3">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x14ac:dyDescent="0.3">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x14ac:dyDescent="0.3">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x14ac:dyDescent="0.3">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x14ac:dyDescent="0.3">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x14ac:dyDescent="0.3">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x14ac:dyDescent="0.3">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x14ac:dyDescent="0.3">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x14ac:dyDescent="0.3">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x14ac:dyDescent="0.3">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x14ac:dyDescent="0.3">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x14ac:dyDescent="0.3">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x14ac:dyDescent="0.3">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x14ac:dyDescent="0.3">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x14ac:dyDescent="0.3">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x14ac:dyDescent="0.3">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x14ac:dyDescent="0.3">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x14ac:dyDescent="0.3">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x14ac:dyDescent="0.3">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x14ac:dyDescent="0.3">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x14ac:dyDescent="0.3">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x14ac:dyDescent="0.3">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x14ac:dyDescent="0.3">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x14ac:dyDescent="0.3">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x14ac:dyDescent="0.3">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x14ac:dyDescent="0.3">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x14ac:dyDescent="0.3">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x14ac:dyDescent="0.3">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x14ac:dyDescent="0.3">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x14ac:dyDescent="0.3">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x14ac:dyDescent="0.3">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x14ac:dyDescent="0.3">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x14ac:dyDescent="0.3">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x14ac:dyDescent="0.3">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x14ac:dyDescent="0.3">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x14ac:dyDescent="0.3">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x14ac:dyDescent="0.3">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x14ac:dyDescent="0.3">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x14ac:dyDescent="0.3">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x14ac:dyDescent="0.3">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x14ac:dyDescent="0.3">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x14ac:dyDescent="0.3">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x14ac:dyDescent="0.3">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x14ac:dyDescent="0.3">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x14ac:dyDescent="0.3">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x14ac:dyDescent="0.3">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x14ac:dyDescent="0.3">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x14ac:dyDescent="0.3">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x14ac:dyDescent="0.3">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x14ac:dyDescent="0.3">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x14ac:dyDescent="0.3">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x14ac:dyDescent="0.3">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x14ac:dyDescent="0.3">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x14ac:dyDescent="0.3">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x14ac:dyDescent="0.3">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x14ac:dyDescent="0.3">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x14ac:dyDescent="0.3">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x14ac:dyDescent="0.3">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x14ac:dyDescent="0.3">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x14ac:dyDescent="0.3">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x14ac:dyDescent="0.3">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x14ac:dyDescent="0.3">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x14ac:dyDescent="0.3">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x14ac:dyDescent="0.3">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x14ac:dyDescent="0.3">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x14ac:dyDescent="0.3">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x14ac:dyDescent="0.3">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x14ac:dyDescent="0.3">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x14ac:dyDescent="0.3">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x14ac:dyDescent="0.3">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x14ac:dyDescent="0.3">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x14ac:dyDescent="0.3">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x14ac:dyDescent="0.3">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x14ac:dyDescent="0.3">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x14ac:dyDescent="0.3">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x14ac:dyDescent="0.3">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x14ac:dyDescent="0.3">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x14ac:dyDescent="0.3">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x14ac:dyDescent="0.3">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x14ac:dyDescent="0.3">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x14ac:dyDescent="0.3">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x14ac:dyDescent="0.3">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x14ac:dyDescent="0.3">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x14ac:dyDescent="0.3">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x14ac:dyDescent="0.3">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x14ac:dyDescent="0.3">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x14ac:dyDescent="0.3">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x14ac:dyDescent="0.3">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x14ac:dyDescent="0.3">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x14ac:dyDescent="0.3">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x14ac:dyDescent="0.3">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x14ac:dyDescent="0.3">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x14ac:dyDescent="0.3">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x14ac:dyDescent="0.3">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x14ac:dyDescent="0.3">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x14ac:dyDescent="0.3">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x14ac:dyDescent="0.3">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x14ac:dyDescent="0.3">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x14ac:dyDescent="0.3">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x14ac:dyDescent="0.3">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x14ac:dyDescent="0.3">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x14ac:dyDescent="0.3">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x14ac:dyDescent="0.3">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x14ac:dyDescent="0.3">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x14ac:dyDescent="0.3">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x14ac:dyDescent="0.3">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x14ac:dyDescent="0.3">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x14ac:dyDescent="0.3">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x14ac:dyDescent="0.3">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x14ac:dyDescent="0.3">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x14ac:dyDescent="0.3">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x14ac:dyDescent="0.3">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x14ac:dyDescent="0.3">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x14ac:dyDescent="0.3">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x14ac:dyDescent="0.3">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x14ac:dyDescent="0.3">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x14ac:dyDescent="0.3">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x14ac:dyDescent="0.3">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x14ac:dyDescent="0.3">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x14ac:dyDescent="0.3">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x14ac:dyDescent="0.3">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x14ac:dyDescent="0.3">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x14ac:dyDescent="0.3">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x14ac:dyDescent="0.3">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x14ac:dyDescent="0.3">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x14ac:dyDescent="0.3">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x14ac:dyDescent="0.3">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x14ac:dyDescent="0.3">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x14ac:dyDescent="0.3">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x14ac:dyDescent="0.3">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x14ac:dyDescent="0.3">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x14ac:dyDescent="0.3">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x14ac:dyDescent="0.3">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x14ac:dyDescent="0.3">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x14ac:dyDescent="0.3">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x14ac:dyDescent="0.3">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x14ac:dyDescent="0.3">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x14ac:dyDescent="0.3">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x14ac:dyDescent="0.3">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x14ac:dyDescent="0.3">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x14ac:dyDescent="0.3">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x14ac:dyDescent="0.3">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x14ac:dyDescent="0.3">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x14ac:dyDescent="0.3">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x14ac:dyDescent="0.3">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x14ac:dyDescent="0.3">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x14ac:dyDescent="0.3">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x14ac:dyDescent="0.3">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x14ac:dyDescent="0.3">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x14ac:dyDescent="0.3">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x14ac:dyDescent="0.3">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x14ac:dyDescent="0.3">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x14ac:dyDescent="0.3">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x14ac:dyDescent="0.3">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x14ac:dyDescent="0.3">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x14ac:dyDescent="0.3">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x14ac:dyDescent="0.3">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x14ac:dyDescent="0.3">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x14ac:dyDescent="0.3">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x14ac:dyDescent="0.3">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x14ac:dyDescent="0.3">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x14ac:dyDescent="0.3">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x14ac:dyDescent="0.3">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x14ac:dyDescent="0.3">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x14ac:dyDescent="0.3">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x14ac:dyDescent="0.3">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x14ac:dyDescent="0.3">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x14ac:dyDescent="0.3">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x14ac:dyDescent="0.3">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x14ac:dyDescent="0.3">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x14ac:dyDescent="0.3">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x14ac:dyDescent="0.3">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x14ac:dyDescent="0.3">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x14ac:dyDescent="0.3">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x14ac:dyDescent="0.3">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x14ac:dyDescent="0.3">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x14ac:dyDescent="0.3">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x14ac:dyDescent="0.3">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x14ac:dyDescent="0.3">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x14ac:dyDescent="0.3">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x14ac:dyDescent="0.3">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x14ac:dyDescent="0.3">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x14ac:dyDescent="0.3">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x14ac:dyDescent="0.3">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x14ac:dyDescent="0.3">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x14ac:dyDescent="0.3">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x14ac:dyDescent="0.3">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x14ac:dyDescent="0.3">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x14ac:dyDescent="0.3">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x14ac:dyDescent="0.3">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x14ac:dyDescent="0.3">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x14ac:dyDescent="0.3">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x14ac:dyDescent="0.3">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x14ac:dyDescent="0.3">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x14ac:dyDescent="0.3">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x14ac:dyDescent="0.3">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x14ac:dyDescent="0.3">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x14ac:dyDescent="0.3">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x14ac:dyDescent="0.3">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x14ac:dyDescent="0.3">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x14ac:dyDescent="0.3">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x14ac:dyDescent="0.3">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x14ac:dyDescent="0.3">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x14ac:dyDescent="0.3">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x14ac:dyDescent="0.3">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x14ac:dyDescent="0.3">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x14ac:dyDescent="0.3">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x14ac:dyDescent="0.3">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x14ac:dyDescent="0.3">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x14ac:dyDescent="0.3">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x14ac:dyDescent="0.3">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x14ac:dyDescent="0.3">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x14ac:dyDescent="0.3">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x14ac:dyDescent="0.3">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x14ac:dyDescent="0.3">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x14ac:dyDescent="0.3">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x14ac:dyDescent="0.3">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x14ac:dyDescent="0.3">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x14ac:dyDescent="0.3">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x14ac:dyDescent="0.3">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x14ac:dyDescent="0.3">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x14ac:dyDescent="0.3">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x14ac:dyDescent="0.3">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x14ac:dyDescent="0.3">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x14ac:dyDescent="0.3">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x14ac:dyDescent="0.3">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x14ac:dyDescent="0.3">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x14ac:dyDescent="0.3">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x14ac:dyDescent="0.3">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x14ac:dyDescent="0.3">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x14ac:dyDescent="0.3">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x14ac:dyDescent="0.3">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x14ac:dyDescent="0.3">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x14ac:dyDescent="0.3">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x14ac:dyDescent="0.3">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x14ac:dyDescent="0.3">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x14ac:dyDescent="0.3">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x14ac:dyDescent="0.3">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x14ac:dyDescent="0.3">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x14ac:dyDescent="0.3">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x14ac:dyDescent="0.3">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x14ac:dyDescent="0.3">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x14ac:dyDescent="0.3">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x14ac:dyDescent="0.3">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x14ac:dyDescent="0.3">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x14ac:dyDescent="0.3">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x14ac:dyDescent="0.3">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x14ac:dyDescent="0.3">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x14ac:dyDescent="0.3">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x14ac:dyDescent="0.3">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x14ac:dyDescent="0.3">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x14ac:dyDescent="0.3">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x14ac:dyDescent="0.3">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x14ac:dyDescent="0.3">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x14ac:dyDescent="0.3">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x14ac:dyDescent="0.3">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x14ac:dyDescent="0.3">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x14ac:dyDescent="0.3">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x14ac:dyDescent="0.3">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x14ac:dyDescent="0.3">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x14ac:dyDescent="0.3">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x14ac:dyDescent="0.3">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x14ac:dyDescent="0.3">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x14ac:dyDescent="0.3">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x14ac:dyDescent="0.3">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x14ac:dyDescent="0.3">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x14ac:dyDescent="0.3">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x14ac:dyDescent="0.3">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x14ac:dyDescent="0.3">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x14ac:dyDescent="0.3">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x14ac:dyDescent="0.3">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x14ac:dyDescent="0.3">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x14ac:dyDescent="0.3">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x14ac:dyDescent="0.3">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x14ac:dyDescent="0.3">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x14ac:dyDescent="0.3">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x14ac:dyDescent="0.3">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x14ac:dyDescent="0.3">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x14ac:dyDescent="0.3">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x14ac:dyDescent="0.3">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x14ac:dyDescent="0.3">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x14ac:dyDescent="0.3">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x14ac:dyDescent="0.3">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x14ac:dyDescent="0.3">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x14ac:dyDescent="0.3">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x14ac:dyDescent="0.3">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x14ac:dyDescent="0.3">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x14ac:dyDescent="0.3">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x14ac:dyDescent="0.3">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x14ac:dyDescent="0.3">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x14ac:dyDescent="0.3">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x14ac:dyDescent="0.3">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x14ac:dyDescent="0.3">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x14ac:dyDescent="0.3">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x14ac:dyDescent="0.3">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x14ac:dyDescent="0.3">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x14ac:dyDescent="0.3">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x14ac:dyDescent="0.3">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x14ac:dyDescent="0.3">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x14ac:dyDescent="0.3">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x14ac:dyDescent="0.3">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x14ac:dyDescent="0.3">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x14ac:dyDescent="0.3">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x14ac:dyDescent="0.3">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x14ac:dyDescent="0.3">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x14ac:dyDescent="0.3">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x14ac:dyDescent="0.3">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x14ac:dyDescent="0.3">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x14ac:dyDescent="0.3">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x14ac:dyDescent="0.3">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x14ac:dyDescent="0.3">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x14ac:dyDescent="0.3">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x14ac:dyDescent="0.3">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x14ac:dyDescent="0.3">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x14ac:dyDescent="0.3">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x14ac:dyDescent="0.3">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x14ac:dyDescent="0.3">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x14ac:dyDescent="0.3">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x14ac:dyDescent="0.3">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x14ac:dyDescent="0.3">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x14ac:dyDescent="0.3">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x14ac:dyDescent="0.3">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x14ac:dyDescent="0.3">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x14ac:dyDescent="0.3">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x14ac:dyDescent="0.3">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x14ac:dyDescent="0.3">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x14ac:dyDescent="0.3">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x14ac:dyDescent="0.3">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x14ac:dyDescent="0.3">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x14ac:dyDescent="0.3">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x14ac:dyDescent="0.3">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x14ac:dyDescent="0.3">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x14ac:dyDescent="0.3">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x14ac:dyDescent="0.3">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x14ac:dyDescent="0.3">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x14ac:dyDescent="0.3">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x14ac:dyDescent="0.3">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x14ac:dyDescent="0.3">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x14ac:dyDescent="0.3">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x14ac:dyDescent="0.3">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x14ac:dyDescent="0.3">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x14ac:dyDescent="0.3">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x14ac:dyDescent="0.3">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x14ac:dyDescent="0.3">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x14ac:dyDescent="0.3">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x14ac:dyDescent="0.3">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x14ac:dyDescent="0.3">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x14ac:dyDescent="0.3">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x14ac:dyDescent="0.3">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x14ac:dyDescent="0.3">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x14ac:dyDescent="0.3">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x14ac:dyDescent="0.3">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x14ac:dyDescent="0.3">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x14ac:dyDescent="0.3">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x14ac:dyDescent="0.3">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x14ac:dyDescent="0.3">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x14ac:dyDescent="0.3">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x14ac:dyDescent="0.3">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x14ac:dyDescent="0.3">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x14ac:dyDescent="0.3">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x14ac:dyDescent="0.3">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x14ac:dyDescent="0.3">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x14ac:dyDescent="0.3">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x14ac:dyDescent="0.3">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x14ac:dyDescent="0.3">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x14ac:dyDescent="0.3">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x14ac:dyDescent="0.3">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x14ac:dyDescent="0.3">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x14ac:dyDescent="0.3">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x14ac:dyDescent="0.3">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x14ac:dyDescent="0.3">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x14ac:dyDescent="0.3">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x14ac:dyDescent="0.3">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x14ac:dyDescent="0.3">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x14ac:dyDescent="0.3">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x14ac:dyDescent="0.3">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x14ac:dyDescent="0.3">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x14ac:dyDescent="0.3">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x14ac:dyDescent="0.3">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x14ac:dyDescent="0.3">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x14ac:dyDescent="0.3">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x14ac:dyDescent="0.3">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x14ac:dyDescent="0.3">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x14ac:dyDescent="0.3">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x14ac:dyDescent="0.3">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x14ac:dyDescent="0.3">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x14ac:dyDescent="0.3">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x14ac:dyDescent="0.3">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x14ac:dyDescent="0.3">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x14ac:dyDescent="0.3">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x14ac:dyDescent="0.3">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x14ac:dyDescent="0.3">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x14ac:dyDescent="0.3">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x14ac:dyDescent="0.3">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x14ac:dyDescent="0.3">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x14ac:dyDescent="0.3">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x14ac:dyDescent="0.3">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x14ac:dyDescent="0.3">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x14ac:dyDescent="0.3">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x14ac:dyDescent="0.3">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x14ac:dyDescent="0.3">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x14ac:dyDescent="0.3">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x14ac:dyDescent="0.3">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x14ac:dyDescent="0.3">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x14ac:dyDescent="0.3">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x14ac:dyDescent="0.3">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x14ac:dyDescent="0.3">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x14ac:dyDescent="0.3">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x14ac:dyDescent="0.3">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x14ac:dyDescent="0.3">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x14ac:dyDescent="0.3">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x14ac:dyDescent="0.3">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x14ac:dyDescent="0.3">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x14ac:dyDescent="0.3">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x14ac:dyDescent="0.3">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x14ac:dyDescent="0.3">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x14ac:dyDescent="0.3">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x14ac:dyDescent="0.3">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x14ac:dyDescent="0.3">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x14ac:dyDescent="0.3">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x14ac:dyDescent="0.3">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x14ac:dyDescent="0.3">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x14ac:dyDescent="0.3">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x14ac:dyDescent="0.3">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x14ac:dyDescent="0.3">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x14ac:dyDescent="0.3">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x14ac:dyDescent="0.3">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x14ac:dyDescent="0.3">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x14ac:dyDescent="0.3">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x14ac:dyDescent="0.3">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x14ac:dyDescent="0.3">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x14ac:dyDescent="0.3">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x14ac:dyDescent="0.3">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x14ac:dyDescent="0.3">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x14ac:dyDescent="0.3">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x14ac:dyDescent="0.3">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x14ac:dyDescent="0.3">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x14ac:dyDescent="0.3">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x14ac:dyDescent="0.3">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x14ac:dyDescent="0.3">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x14ac:dyDescent="0.3">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x14ac:dyDescent="0.3">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x14ac:dyDescent="0.3">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x14ac:dyDescent="0.3">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x14ac:dyDescent="0.3">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x14ac:dyDescent="0.3">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x14ac:dyDescent="0.3">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x14ac:dyDescent="0.3">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x14ac:dyDescent="0.3">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x14ac:dyDescent="0.3">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x14ac:dyDescent="0.3">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x14ac:dyDescent="0.3">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x14ac:dyDescent="0.3">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x14ac:dyDescent="0.3">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x14ac:dyDescent="0.3">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x14ac:dyDescent="0.3">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x14ac:dyDescent="0.3">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x14ac:dyDescent="0.3">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x14ac:dyDescent="0.3">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x14ac:dyDescent="0.3">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x14ac:dyDescent="0.3">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x14ac:dyDescent="0.3">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x14ac:dyDescent="0.3">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x14ac:dyDescent="0.3">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x14ac:dyDescent="0.3">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x14ac:dyDescent="0.3">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x14ac:dyDescent="0.3">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x14ac:dyDescent="0.3">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x14ac:dyDescent="0.3">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x14ac:dyDescent="0.3">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x14ac:dyDescent="0.3">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x14ac:dyDescent="0.3">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x14ac:dyDescent="0.3">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x14ac:dyDescent="0.3">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x14ac:dyDescent="0.3">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x14ac:dyDescent="0.3">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x14ac:dyDescent="0.3">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x14ac:dyDescent="0.3">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x14ac:dyDescent="0.3">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x14ac:dyDescent="0.3">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x14ac:dyDescent="0.3">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x14ac:dyDescent="0.3">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x14ac:dyDescent="0.3">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x14ac:dyDescent="0.3">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x14ac:dyDescent="0.3">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x14ac:dyDescent="0.3">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x14ac:dyDescent="0.3">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x14ac:dyDescent="0.3">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x14ac:dyDescent="0.3">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x14ac:dyDescent="0.3">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x14ac:dyDescent="0.3">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x14ac:dyDescent="0.3">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x14ac:dyDescent="0.3">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x14ac:dyDescent="0.3">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x14ac:dyDescent="0.3">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x14ac:dyDescent="0.3">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x14ac:dyDescent="0.3">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x14ac:dyDescent="0.3">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x14ac:dyDescent="0.3">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x14ac:dyDescent="0.3">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x14ac:dyDescent="0.3">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x14ac:dyDescent="0.3">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x14ac:dyDescent="0.3">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x14ac:dyDescent="0.3">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x14ac:dyDescent="0.3">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x14ac:dyDescent="0.3">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x14ac:dyDescent="0.3">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x14ac:dyDescent="0.3">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x14ac:dyDescent="0.3">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x14ac:dyDescent="0.3">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x14ac:dyDescent="0.3">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x14ac:dyDescent="0.3">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x14ac:dyDescent="0.3">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x14ac:dyDescent="0.3">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x14ac:dyDescent="0.3">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x14ac:dyDescent="0.3">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x14ac:dyDescent="0.3">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x14ac:dyDescent="0.3">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x14ac:dyDescent="0.3">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x14ac:dyDescent="0.3">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x14ac:dyDescent="0.3">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x14ac:dyDescent="0.3">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x14ac:dyDescent="0.3">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x14ac:dyDescent="0.3">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x14ac:dyDescent="0.3">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x14ac:dyDescent="0.3">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x14ac:dyDescent="0.3">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x14ac:dyDescent="0.3">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x14ac:dyDescent="0.3">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x14ac:dyDescent="0.3">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x14ac:dyDescent="0.3">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x14ac:dyDescent="0.3">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x14ac:dyDescent="0.3">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x14ac:dyDescent="0.3">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x14ac:dyDescent="0.3">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x14ac:dyDescent="0.3">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x14ac:dyDescent="0.3">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x14ac:dyDescent="0.3">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x14ac:dyDescent="0.3">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x14ac:dyDescent="0.3">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x14ac:dyDescent="0.3">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x14ac:dyDescent="0.3">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x14ac:dyDescent="0.3">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x14ac:dyDescent="0.3">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x14ac:dyDescent="0.3">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x14ac:dyDescent="0.3">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x14ac:dyDescent="0.3">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x14ac:dyDescent="0.3">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x14ac:dyDescent="0.3">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x14ac:dyDescent="0.3">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x14ac:dyDescent="0.3">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x14ac:dyDescent="0.3">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x14ac:dyDescent="0.3">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x14ac:dyDescent="0.3">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x14ac:dyDescent="0.3">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x14ac:dyDescent="0.3">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x14ac:dyDescent="0.3">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x14ac:dyDescent="0.3">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x14ac:dyDescent="0.3">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x14ac:dyDescent="0.3">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x14ac:dyDescent="0.3">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x14ac:dyDescent="0.3">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x14ac:dyDescent="0.3">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x14ac:dyDescent="0.3">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x14ac:dyDescent="0.3">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x14ac:dyDescent="0.3">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x14ac:dyDescent="0.3">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x14ac:dyDescent="0.3">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x14ac:dyDescent="0.3">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x14ac:dyDescent="0.3">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x14ac:dyDescent="0.3">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x14ac:dyDescent="0.3">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x14ac:dyDescent="0.3">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x14ac:dyDescent="0.3">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x14ac:dyDescent="0.3">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x14ac:dyDescent="0.3">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x14ac:dyDescent="0.3">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x14ac:dyDescent="0.3">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x14ac:dyDescent="0.3">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x14ac:dyDescent="0.3">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x14ac:dyDescent="0.3">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x14ac:dyDescent="0.3">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x14ac:dyDescent="0.3">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x14ac:dyDescent="0.3">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x14ac:dyDescent="0.3">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x14ac:dyDescent="0.3">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x14ac:dyDescent="0.3">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x14ac:dyDescent="0.3">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x14ac:dyDescent="0.3">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x14ac:dyDescent="0.3">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x14ac:dyDescent="0.3">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x14ac:dyDescent="0.3">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x14ac:dyDescent="0.3">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x14ac:dyDescent="0.3">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x14ac:dyDescent="0.3">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x14ac:dyDescent="0.3">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x14ac:dyDescent="0.3">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x14ac:dyDescent="0.3">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x14ac:dyDescent="0.3">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x14ac:dyDescent="0.3">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x14ac:dyDescent="0.3">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x14ac:dyDescent="0.3">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x14ac:dyDescent="0.3">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x14ac:dyDescent="0.3">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x14ac:dyDescent="0.3">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x14ac:dyDescent="0.3">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x14ac:dyDescent="0.3">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x14ac:dyDescent="0.3">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x14ac:dyDescent="0.3">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x14ac:dyDescent="0.3">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x14ac:dyDescent="0.3">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x14ac:dyDescent="0.3">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x14ac:dyDescent="0.3">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x14ac:dyDescent="0.3">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x14ac:dyDescent="0.3">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x14ac:dyDescent="0.3">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x14ac:dyDescent="0.3">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x14ac:dyDescent="0.3">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x14ac:dyDescent="0.3">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x14ac:dyDescent="0.3">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x14ac:dyDescent="0.3">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x14ac:dyDescent="0.3">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x14ac:dyDescent="0.3">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x14ac:dyDescent="0.3">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x14ac:dyDescent="0.3">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x14ac:dyDescent="0.3">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x14ac:dyDescent="0.3">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x14ac:dyDescent="0.3">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x14ac:dyDescent="0.3">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x14ac:dyDescent="0.3">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x14ac:dyDescent="0.3">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x14ac:dyDescent="0.3">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x14ac:dyDescent="0.3">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x14ac:dyDescent="0.3">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x14ac:dyDescent="0.3">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x14ac:dyDescent="0.3">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x14ac:dyDescent="0.3">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x14ac:dyDescent="0.3">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x14ac:dyDescent="0.3">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x14ac:dyDescent="0.3">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x14ac:dyDescent="0.3">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x14ac:dyDescent="0.3">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x14ac:dyDescent="0.3">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x14ac:dyDescent="0.3">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x14ac:dyDescent="0.3">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x14ac:dyDescent="0.3">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x14ac:dyDescent="0.3">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x14ac:dyDescent="0.3">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x14ac:dyDescent="0.3">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x14ac:dyDescent="0.3">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x14ac:dyDescent="0.3">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x14ac:dyDescent="0.3">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x14ac:dyDescent="0.3">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x14ac:dyDescent="0.3">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x14ac:dyDescent="0.3">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x14ac:dyDescent="0.3">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x14ac:dyDescent="0.3">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x14ac:dyDescent="0.3">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x14ac:dyDescent="0.3">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x14ac:dyDescent="0.3">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x14ac:dyDescent="0.3">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x14ac:dyDescent="0.3">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x14ac:dyDescent="0.3">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x14ac:dyDescent="0.3">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x14ac:dyDescent="0.3">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x14ac:dyDescent="0.3">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x14ac:dyDescent="0.3">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x14ac:dyDescent="0.3">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x14ac:dyDescent="0.3">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x14ac:dyDescent="0.3">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x14ac:dyDescent="0.3">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x14ac:dyDescent="0.3">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x14ac:dyDescent="0.3">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x14ac:dyDescent="0.3">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x14ac:dyDescent="0.3">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x14ac:dyDescent="0.3">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x14ac:dyDescent="0.3">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x14ac:dyDescent="0.3">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x14ac:dyDescent="0.3">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x14ac:dyDescent="0.3">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x14ac:dyDescent="0.3">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x14ac:dyDescent="0.3">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x14ac:dyDescent="0.3">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x14ac:dyDescent="0.3">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x14ac:dyDescent="0.3">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x14ac:dyDescent="0.3">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x14ac:dyDescent="0.3">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x14ac:dyDescent="0.3">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x14ac:dyDescent="0.3">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x14ac:dyDescent="0.3">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x14ac:dyDescent="0.3">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x14ac:dyDescent="0.3">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x14ac:dyDescent="0.3">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x14ac:dyDescent="0.3">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x14ac:dyDescent="0.3">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x14ac:dyDescent="0.3">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x14ac:dyDescent="0.3">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x14ac:dyDescent="0.3">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x14ac:dyDescent="0.3">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x14ac:dyDescent="0.3">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x14ac:dyDescent="0.3">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x14ac:dyDescent="0.3">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x14ac:dyDescent="0.3">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x14ac:dyDescent="0.3">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x14ac:dyDescent="0.3">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x14ac:dyDescent="0.3">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x14ac:dyDescent="0.3">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x14ac:dyDescent="0.3">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x14ac:dyDescent="0.3">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x14ac:dyDescent="0.3">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x14ac:dyDescent="0.3">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x14ac:dyDescent="0.3">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x14ac:dyDescent="0.3">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x14ac:dyDescent="0.3">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x14ac:dyDescent="0.3">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x14ac:dyDescent="0.3">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x14ac:dyDescent="0.3">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x14ac:dyDescent="0.3">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x14ac:dyDescent="0.3">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x14ac:dyDescent="0.3">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x14ac:dyDescent="0.3">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x14ac:dyDescent="0.3">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x14ac:dyDescent="0.3">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x14ac:dyDescent="0.3">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x14ac:dyDescent="0.3">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x14ac:dyDescent="0.3">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x14ac:dyDescent="0.3">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x14ac:dyDescent="0.3">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x14ac:dyDescent="0.3">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x14ac:dyDescent="0.3">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x14ac:dyDescent="0.3">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x14ac:dyDescent="0.3">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x14ac:dyDescent="0.3">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x14ac:dyDescent="0.3">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x14ac:dyDescent="0.3">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x14ac:dyDescent="0.3">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x14ac:dyDescent="0.3">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x14ac:dyDescent="0.3">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x14ac:dyDescent="0.3">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x14ac:dyDescent="0.3">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x14ac:dyDescent="0.3">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x14ac:dyDescent="0.3">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x14ac:dyDescent="0.3">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x14ac:dyDescent="0.3">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x14ac:dyDescent="0.3">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x14ac:dyDescent="0.3">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x14ac:dyDescent="0.3">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x14ac:dyDescent="0.3">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x14ac:dyDescent="0.3">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x14ac:dyDescent="0.3">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x14ac:dyDescent="0.3">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x14ac:dyDescent="0.3">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x14ac:dyDescent="0.3">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x14ac:dyDescent="0.3">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x14ac:dyDescent="0.3">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x14ac:dyDescent="0.3">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x14ac:dyDescent="0.3">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x14ac:dyDescent="0.3">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x14ac:dyDescent="0.3">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x14ac:dyDescent="0.3">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x14ac:dyDescent="0.3">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x14ac:dyDescent="0.3">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x14ac:dyDescent="0.3">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x14ac:dyDescent="0.3">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x14ac:dyDescent="0.3">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x14ac:dyDescent="0.3">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x14ac:dyDescent="0.3">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x14ac:dyDescent="0.3">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x14ac:dyDescent="0.3">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x14ac:dyDescent="0.3">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x14ac:dyDescent="0.3">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x14ac:dyDescent="0.3">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x14ac:dyDescent="0.3">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x14ac:dyDescent="0.3">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x14ac:dyDescent="0.3">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x14ac:dyDescent="0.3">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x14ac:dyDescent="0.3">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x14ac:dyDescent="0.3">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x14ac:dyDescent="0.3">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x14ac:dyDescent="0.3">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x14ac:dyDescent="0.3">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x14ac:dyDescent="0.3">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x14ac:dyDescent="0.3">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x14ac:dyDescent="0.3">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x14ac:dyDescent="0.3">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x14ac:dyDescent="0.3">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x14ac:dyDescent="0.3">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x14ac:dyDescent="0.3">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x14ac:dyDescent="0.3">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x14ac:dyDescent="0.3">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x14ac:dyDescent="0.3">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x14ac:dyDescent="0.3">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x14ac:dyDescent="0.3">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x14ac:dyDescent="0.3">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x14ac:dyDescent="0.3">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x14ac:dyDescent="0.3">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x14ac:dyDescent="0.3">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x14ac:dyDescent="0.3">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x14ac:dyDescent="0.3">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x14ac:dyDescent="0.3">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x14ac:dyDescent="0.3">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x14ac:dyDescent="0.3">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x14ac:dyDescent="0.3">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x14ac:dyDescent="0.3">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x14ac:dyDescent="0.3">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x14ac:dyDescent="0.3">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x14ac:dyDescent="0.3">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x14ac:dyDescent="0.3">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x14ac:dyDescent="0.3">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x14ac:dyDescent="0.3">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x14ac:dyDescent="0.3">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x14ac:dyDescent="0.3">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x14ac:dyDescent="0.3">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x14ac:dyDescent="0.3">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x14ac:dyDescent="0.3">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x14ac:dyDescent="0.3">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x14ac:dyDescent="0.3">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x14ac:dyDescent="0.3">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x14ac:dyDescent="0.3">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x14ac:dyDescent="0.3">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x14ac:dyDescent="0.3">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x14ac:dyDescent="0.3">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x14ac:dyDescent="0.3">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x14ac:dyDescent="0.3">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x14ac:dyDescent="0.3">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x14ac:dyDescent="0.3">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x14ac:dyDescent="0.3">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x14ac:dyDescent="0.3">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x14ac:dyDescent="0.3">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x14ac:dyDescent="0.3">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x14ac:dyDescent="0.3">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x14ac:dyDescent="0.3">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x14ac:dyDescent="0.3">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x14ac:dyDescent="0.3">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x14ac:dyDescent="0.3">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x14ac:dyDescent="0.3">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x14ac:dyDescent="0.3">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x14ac:dyDescent="0.3">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x14ac:dyDescent="0.3">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x14ac:dyDescent="0.3">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x14ac:dyDescent="0.3">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x14ac:dyDescent="0.3">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x14ac:dyDescent="0.3">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x14ac:dyDescent="0.3">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x14ac:dyDescent="0.3">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x14ac:dyDescent="0.3">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x14ac:dyDescent="0.3">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x14ac:dyDescent="0.3">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x14ac:dyDescent="0.3">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x14ac:dyDescent="0.3">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x14ac:dyDescent="0.3">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x14ac:dyDescent="0.3">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x14ac:dyDescent="0.3">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x14ac:dyDescent="0.3">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x14ac:dyDescent="0.3">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x14ac:dyDescent="0.3">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x14ac:dyDescent="0.3">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x14ac:dyDescent="0.3">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x14ac:dyDescent="0.3">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x14ac:dyDescent="0.3">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x14ac:dyDescent="0.3">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x14ac:dyDescent="0.3">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x14ac:dyDescent="0.3">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x14ac:dyDescent="0.3">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x14ac:dyDescent="0.3">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x14ac:dyDescent="0.3">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x14ac:dyDescent="0.3">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x14ac:dyDescent="0.3">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x14ac:dyDescent="0.3">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x14ac:dyDescent="0.3">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x14ac:dyDescent="0.3">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x14ac:dyDescent="0.3">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x14ac:dyDescent="0.3">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x14ac:dyDescent="0.3">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x14ac:dyDescent="0.3">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x14ac:dyDescent="0.3">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x14ac:dyDescent="0.3">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x14ac:dyDescent="0.3">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x14ac:dyDescent="0.3">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x14ac:dyDescent="0.3">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x14ac:dyDescent="0.3">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x14ac:dyDescent="0.3">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x14ac:dyDescent="0.3">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x14ac:dyDescent="0.3">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x14ac:dyDescent="0.3">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x14ac:dyDescent="0.3">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x14ac:dyDescent="0.3">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x14ac:dyDescent="0.3">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x14ac:dyDescent="0.3">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x14ac:dyDescent="0.3">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x14ac:dyDescent="0.3">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x14ac:dyDescent="0.3">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x14ac:dyDescent="0.3">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x14ac:dyDescent="0.3">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x14ac:dyDescent="0.3">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x14ac:dyDescent="0.3">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x14ac:dyDescent="0.3">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x14ac:dyDescent="0.3">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x14ac:dyDescent="0.3">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x14ac:dyDescent="0.3">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x14ac:dyDescent="0.3">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x14ac:dyDescent="0.3">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x14ac:dyDescent="0.3">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x14ac:dyDescent="0.3">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x14ac:dyDescent="0.3">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x14ac:dyDescent="0.3">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x14ac:dyDescent="0.3">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x14ac:dyDescent="0.3">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x14ac:dyDescent="0.3">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x14ac:dyDescent="0.3">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x14ac:dyDescent="0.3">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x14ac:dyDescent="0.3">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x14ac:dyDescent="0.3">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x14ac:dyDescent="0.3">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x14ac:dyDescent="0.3">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x14ac:dyDescent="0.3">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x14ac:dyDescent="0.3">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x14ac:dyDescent="0.3">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x14ac:dyDescent="0.3">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x14ac:dyDescent="0.3">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x14ac:dyDescent="0.3">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x14ac:dyDescent="0.3">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x14ac:dyDescent="0.3">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x14ac:dyDescent="0.3">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x14ac:dyDescent="0.3">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x14ac:dyDescent="0.3">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x14ac:dyDescent="0.3">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x14ac:dyDescent="0.3">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x14ac:dyDescent="0.3">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x14ac:dyDescent="0.3">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x14ac:dyDescent="0.3">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x14ac:dyDescent="0.3">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x14ac:dyDescent="0.3">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x14ac:dyDescent="0.3">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x14ac:dyDescent="0.3">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x14ac:dyDescent="0.3">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x14ac:dyDescent="0.3">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x14ac:dyDescent="0.3">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x14ac:dyDescent="0.3">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x14ac:dyDescent="0.3">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x14ac:dyDescent="0.3">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x14ac:dyDescent="0.3">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x14ac:dyDescent="0.3">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x14ac:dyDescent="0.3">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x14ac:dyDescent="0.3">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x14ac:dyDescent="0.3">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x14ac:dyDescent="0.3">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x14ac:dyDescent="0.3">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x14ac:dyDescent="0.3">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x14ac:dyDescent="0.3">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x14ac:dyDescent="0.3">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x14ac:dyDescent="0.3">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x14ac:dyDescent="0.3">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x14ac:dyDescent="0.3">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x14ac:dyDescent="0.3">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x14ac:dyDescent="0.3">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x14ac:dyDescent="0.3">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x14ac:dyDescent="0.3">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x14ac:dyDescent="0.3">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x14ac:dyDescent="0.3">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x14ac:dyDescent="0.3">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x14ac:dyDescent="0.3">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x14ac:dyDescent="0.3">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x14ac:dyDescent="0.3">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x14ac:dyDescent="0.3">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x14ac:dyDescent="0.3">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x14ac:dyDescent="0.3">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x14ac:dyDescent="0.3">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x14ac:dyDescent="0.3">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x14ac:dyDescent="0.3">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x14ac:dyDescent="0.3">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x14ac:dyDescent="0.3">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x14ac:dyDescent="0.3">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x14ac:dyDescent="0.3">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x14ac:dyDescent="0.3">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x14ac:dyDescent="0.3">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x14ac:dyDescent="0.3">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x14ac:dyDescent="0.3">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x14ac:dyDescent="0.3">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x14ac:dyDescent="0.3">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x14ac:dyDescent="0.3">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x14ac:dyDescent="0.3">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x14ac:dyDescent="0.3">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x14ac:dyDescent="0.3">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x14ac:dyDescent="0.3">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x14ac:dyDescent="0.3">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x14ac:dyDescent="0.3">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x14ac:dyDescent="0.3">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x14ac:dyDescent="0.3">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x14ac:dyDescent="0.3">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x14ac:dyDescent="0.3">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x14ac:dyDescent="0.3">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x14ac:dyDescent="0.3">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x14ac:dyDescent="0.3">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x14ac:dyDescent="0.3">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x14ac:dyDescent="0.3">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x14ac:dyDescent="0.3">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x14ac:dyDescent="0.3">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x14ac:dyDescent="0.3">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x14ac:dyDescent="0.3">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x14ac:dyDescent="0.3">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x14ac:dyDescent="0.3">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x14ac:dyDescent="0.3">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x14ac:dyDescent="0.3">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x14ac:dyDescent="0.3">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x14ac:dyDescent="0.3">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x14ac:dyDescent="0.3">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x14ac:dyDescent="0.3">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x14ac:dyDescent="0.3">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x14ac:dyDescent="0.3">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x14ac:dyDescent="0.3">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x14ac:dyDescent="0.3">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x14ac:dyDescent="0.3">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x14ac:dyDescent="0.3">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x14ac:dyDescent="0.3">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x14ac:dyDescent="0.3">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x14ac:dyDescent="0.3">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x14ac:dyDescent="0.3">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x14ac:dyDescent="0.3">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x14ac:dyDescent="0.3">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row r="22543" spans="1:19" x14ac:dyDescent="0.3">
      <c r="A22543" t="str">
        <f>C22543&amp;" "&amp;D22543&amp;"Sep-24"</f>
        <v>DBH Parent SupportABC FFSep-24</v>
      </c>
      <c r="B22543" s="171" t="s">
        <v>45463</v>
      </c>
      <c r="C22543" s="171" t="s">
        <v>34754</v>
      </c>
      <c r="D22543" s="171" t="s">
        <v>80</v>
      </c>
      <c r="E22543" s="11">
        <v>45536</v>
      </c>
      <c r="F22543">
        <v>0</v>
      </c>
      <c r="G22543">
        <v>0</v>
      </c>
      <c r="I22543">
        <v>0</v>
      </c>
      <c r="J22543">
        <v>0</v>
      </c>
      <c r="L22543">
        <v>0</v>
      </c>
      <c r="N22543">
        <v>0</v>
      </c>
      <c r="P22543">
        <v>0</v>
      </c>
      <c r="Q22543">
        <v>0</v>
      </c>
      <c r="S22543">
        <v>0</v>
      </c>
    </row>
    <row r="22544" spans="1:19" x14ac:dyDescent="0.3">
      <c r="A22544" t="str">
        <f t="shared" ref="A22544:A22607" si="15">C22544&amp;" "&amp;D22544&amp;"Sep-24"</f>
        <v>Healthy FuturesABC FFSep-24</v>
      </c>
      <c r="B22544" s="171" t="s">
        <v>45464</v>
      </c>
      <c r="C22544" s="171" t="s">
        <v>34757</v>
      </c>
      <c r="D22544" s="171" t="s">
        <v>80</v>
      </c>
      <c r="E22544" s="11">
        <v>45536</v>
      </c>
      <c r="F22544">
        <v>0</v>
      </c>
      <c r="G22544">
        <v>0</v>
      </c>
      <c r="I22544">
        <v>0</v>
      </c>
      <c r="J22544">
        <v>0</v>
      </c>
      <c r="L22544">
        <v>0</v>
      </c>
      <c r="N22544">
        <v>0</v>
      </c>
      <c r="P22544">
        <v>0</v>
      </c>
      <c r="Q22544">
        <v>0</v>
      </c>
      <c r="S22544">
        <v>0</v>
      </c>
    </row>
    <row r="22545" spans="1:19" x14ac:dyDescent="0.3">
      <c r="A22545" t="str">
        <f t="shared" si="15"/>
        <v>Marys CenterABC FFSep-24</v>
      </c>
      <c r="B22545" s="171" t="s">
        <v>45465</v>
      </c>
      <c r="C22545" s="171" t="s">
        <v>34760</v>
      </c>
      <c r="D22545" s="171" t="s">
        <v>80</v>
      </c>
      <c r="E22545" s="11">
        <v>45536</v>
      </c>
      <c r="F22545">
        <v>0</v>
      </c>
      <c r="G22545">
        <v>0</v>
      </c>
      <c r="I22545">
        <v>0</v>
      </c>
      <c r="J22545">
        <v>0</v>
      </c>
      <c r="L22545">
        <v>0</v>
      </c>
      <c r="N22545">
        <v>0</v>
      </c>
      <c r="P22545">
        <v>0</v>
      </c>
      <c r="Q22545">
        <v>0</v>
      </c>
      <c r="S22545">
        <v>0</v>
      </c>
    </row>
    <row r="22546" spans="1:19" x14ac:dyDescent="0.3">
      <c r="A22546" t="str">
        <f t="shared" si="15"/>
        <v>Medstar GeorgetownABC FFSep-24</v>
      </c>
      <c r="B22546" s="171" t="s">
        <v>45466</v>
      </c>
      <c r="C22546" s="171" t="s">
        <v>34763</v>
      </c>
      <c r="D22546" s="171" t="s">
        <v>80</v>
      </c>
      <c r="E22546" s="11">
        <v>45536</v>
      </c>
      <c r="F22546">
        <v>0</v>
      </c>
      <c r="G22546">
        <v>0</v>
      </c>
      <c r="I22546">
        <v>0</v>
      </c>
      <c r="J22546">
        <v>0</v>
      </c>
      <c r="L22546">
        <v>0</v>
      </c>
      <c r="N22546">
        <v>0</v>
      </c>
      <c r="P22546">
        <v>0</v>
      </c>
      <c r="Q22546">
        <v>0</v>
      </c>
      <c r="S22546">
        <v>0</v>
      </c>
    </row>
    <row r="22547" spans="1:19" x14ac:dyDescent="0.3">
      <c r="A22547" t="str">
        <f t="shared" si="15"/>
        <v>PIECEABC FFSep-24</v>
      </c>
      <c r="B22547" s="171" t="s">
        <v>45467</v>
      </c>
      <c r="C22547" s="171" t="s">
        <v>34766</v>
      </c>
      <c r="D22547" s="171" t="s">
        <v>80</v>
      </c>
      <c r="E22547" s="11">
        <v>45536</v>
      </c>
      <c r="F22547">
        <v>0</v>
      </c>
      <c r="G22547">
        <v>0</v>
      </c>
      <c r="I22547">
        <v>0</v>
      </c>
      <c r="J22547">
        <v>0</v>
      </c>
      <c r="L22547">
        <v>0</v>
      </c>
      <c r="N22547">
        <v>0</v>
      </c>
      <c r="P22547">
        <v>0</v>
      </c>
      <c r="Q22547">
        <v>0</v>
      </c>
      <c r="S22547">
        <v>0</v>
      </c>
    </row>
    <row r="22548" spans="1:19" x14ac:dyDescent="0.3">
      <c r="A22548" t="str">
        <f t="shared" si="15"/>
        <v>Federal CityA-CRA FFSep-24</v>
      </c>
      <c r="B22548" s="171" t="s">
        <v>45468</v>
      </c>
      <c r="C22548" s="171" t="s">
        <v>119</v>
      </c>
      <c r="D22548" s="171" t="s">
        <v>80</v>
      </c>
      <c r="E22548" s="11">
        <v>45536</v>
      </c>
      <c r="F22548">
        <v>0</v>
      </c>
      <c r="G22548">
        <v>0</v>
      </c>
      <c r="I22548">
        <v>0</v>
      </c>
      <c r="J22548">
        <v>0</v>
      </c>
      <c r="L22548">
        <v>0</v>
      </c>
      <c r="N22548">
        <v>0</v>
      </c>
      <c r="P22548">
        <v>0</v>
      </c>
      <c r="Q22548">
        <v>0</v>
      </c>
      <c r="S22548">
        <v>0</v>
      </c>
    </row>
    <row r="22549" spans="1:19" x14ac:dyDescent="0.3">
      <c r="A22549" t="str">
        <f t="shared" si="15"/>
        <v>HillcrestA-CRA FFSep-24</v>
      </c>
      <c r="B22549" s="171" t="s">
        <v>45469</v>
      </c>
      <c r="C22549" s="171" t="s">
        <v>143</v>
      </c>
      <c r="D22549" s="171" t="s">
        <v>80</v>
      </c>
      <c r="E22549" s="11">
        <v>45536</v>
      </c>
      <c r="F22549">
        <v>0</v>
      </c>
      <c r="G22549">
        <v>0</v>
      </c>
      <c r="I22549">
        <v>0</v>
      </c>
      <c r="J22549">
        <v>0</v>
      </c>
      <c r="L22549">
        <v>0</v>
      </c>
      <c r="N22549">
        <v>0</v>
      </c>
      <c r="P22549">
        <v>0</v>
      </c>
      <c r="Q22549">
        <v>0</v>
      </c>
      <c r="S22549">
        <v>0</v>
      </c>
    </row>
    <row r="22550" spans="1:19" x14ac:dyDescent="0.3">
      <c r="A22550" t="str">
        <f t="shared" si="15"/>
        <v>LAYCA-CRA FFSep-24</v>
      </c>
      <c r="B22550" s="171" t="s">
        <v>45470</v>
      </c>
      <c r="C22550" s="171" t="s">
        <v>158</v>
      </c>
      <c r="D22550" s="171" t="s">
        <v>80</v>
      </c>
      <c r="E22550" s="11">
        <v>45536</v>
      </c>
      <c r="F22550">
        <v>0</v>
      </c>
      <c r="G22550">
        <v>0</v>
      </c>
      <c r="I22550">
        <v>0</v>
      </c>
      <c r="J22550">
        <v>0</v>
      </c>
      <c r="L22550">
        <v>0</v>
      </c>
      <c r="N22550">
        <v>0</v>
      </c>
      <c r="P22550">
        <v>0</v>
      </c>
      <c r="Q22550">
        <v>0</v>
      </c>
      <c r="S22550">
        <v>0</v>
      </c>
    </row>
    <row r="22551" spans="1:19" x14ac:dyDescent="0.3">
      <c r="A22551" t="str">
        <f t="shared" si="15"/>
        <v>RiversideA-CRA FFSep-24</v>
      </c>
      <c r="B22551" s="171" t="s">
        <v>45471</v>
      </c>
      <c r="C22551" s="171" t="s">
        <v>209</v>
      </c>
      <c r="D22551" s="171" t="s">
        <v>80</v>
      </c>
      <c r="E22551" s="11">
        <v>45536</v>
      </c>
      <c r="F22551">
        <v>0</v>
      </c>
      <c r="G22551">
        <v>0</v>
      </c>
      <c r="I22551">
        <v>0</v>
      </c>
      <c r="J22551">
        <v>0</v>
      </c>
      <c r="L22551">
        <v>0</v>
      </c>
      <c r="N22551">
        <v>0</v>
      </c>
      <c r="P22551">
        <v>0</v>
      </c>
      <c r="Q22551">
        <v>0</v>
      </c>
      <c r="S22551">
        <v>0</v>
      </c>
    </row>
    <row r="22552" spans="1:19" x14ac:dyDescent="0.3">
      <c r="A22552" t="str">
        <f t="shared" si="15"/>
        <v>Adoptions TogetherCPP-FV FFSep-24</v>
      </c>
      <c r="B22552" s="171" t="s">
        <v>45472</v>
      </c>
      <c r="C22552" s="171" t="s">
        <v>76</v>
      </c>
      <c r="D22552" s="171" t="s">
        <v>80</v>
      </c>
      <c r="E22552" s="11">
        <v>45536</v>
      </c>
      <c r="F22552">
        <v>0</v>
      </c>
      <c r="G22552">
        <v>0</v>
      </c>
      <c r="I22552">
        <v>0</v>
      </c>
      <c r="J22552">
        <v>0</v>
      </c>
      <c r="L22552">
        <v>0</v>
      </c>
      <c r="N22552">
        <v>0</v>
      </c>
      <c r="P22552">
        <v>0</v>
      </c>
      <c r="Q22552">
        <v>0</v>
      </c>
      <c r="S22552">
        <v>0</v>
      </c>
    </row>
    <row r="22553" spans="1:19" x14ac:dyDescent="0.3">
      <c r="A22553" t="str">
        <f t="shared" si="15"/>
        <v>Community ConnectionsCPP-FV DCSSep-24</v>
      </c>
      <c r="B22553" s="171" t="s">
        <v>45473</v>
      </c>
      <c r="C22553" s="171" t="s">
        <v>15340</v>
      </c>
      <c r="D22553" s="171" t="s">
        <v>15341</v>
      </c>
      <c r="E22553" s="11">
        <v>45536</v>
      </c>
      <c r="F22553">
        <v>0</v>
      </c>
      <c r="G22553">
        <v>0</v>
      </c>
      <c r="I22553">
        <v>0</v>
      </c>
      <c r="J22553">
        <v>0</v>
      </c>
      <c r="L22553">
        <v>0</v>
      </c>
      <c r="N22553">
        <v>0</v>
      </c>
      <c r="P22553">
        <v>0</v>
      </c>
      <c r="Q22553">
        <v>0</v>
      </c>
      <c r="S22553">
        <v>0</v>
      </c>
    </row>
    <row r="22554" spans="1:19" x14ac:dyDescent="0.3">
      <c r="A22554" t="str">
        <f t="shared" si="15"/>
        <v>Community ConnectionsCPP-FV FFSep-24</v>
      </c>
      <c r="B22554" s="171" t="s">
        <v>45474</v>
      </c>
      <c r="C22554" s="171" t="s">
        <v>15340</v>
      </c>
      <c r="D22554" s="171" t="s">
        <v>80</v>
      </c>
      <c r="E22554" s="11">
        <v>45536</v>
      </c>
      <c r="F22554">
        <v>0</v>
      </c>
      <c r="G22554">
        <v>0</v>
      </c>
      <c r="I22554">
        <v>0</v>
      </c>
      <c r="J22554">
        <v>0</v>
      </c>
      <c r="L22554">
        <v>0</v>
      </c>
      <c r="N22554">
        <v>0</v>
      </c>
      <c r="P22554">
        <v>0</v>
      </c>
      <c r="Q22554">
        <v>0</v>
      </c>
      <c r="S22554">
        <v>0</v>
      </c>
    </row>
    <row r="22555" spans="1:19" x14ac:dyDescent="0.3">
      <c r="A22555" t="str">
        <f t="shared" si="15"/>
        <v>Foundations for Home &amp; CommunityCPP-FV DCSSep-24</v>
      </c>
      <c r="B22555" s="171" t="s">
        <v>45475</v>
      </c>
      <c r="C22555" s="171" t="s">
        <v>15344</v>
      </c>
      <c r="D22555" s="171" t="s">
        <v>15341</v>
      </c>
      <c r="E22555" s="11">
        <v>45536</v>
      </c>
      <c r="F22555">
        <v>0</v>
      </c>
      <c r="G22555">
        <v>0</v>
      </c>
      <c r="I22555">
        <v>0</v>
      </c>
      <c r="J22555">
        <v>0</v>
      </c>
      <c r="L22555">
        <v>0</v>
      </c>
      <c r="N22555">
        <v>0</v>
      </c>
      <c r="P22555">
        <v>0</v>
      </c>
      <c r="Q22555">
        <v>0</v>
      </c>
      <c r="S22555">
        <v>0</v>
      </c>
    </row>
    <row r="22556" spans="1:19" x14ac:dyDescent="0.3">
      <c r="A22556" t="str">
        <f t="shared" si="15"/>
        <v>Marys CenterCPP-FV DCSSep-24</v>
      </c>
      <c r="B22556" s="171" t="s">
        <v>45476</v>
      </c>
      <c r="C22556" s="171" t="s">
        <v>15347</v>
      </c>
      <c r="D22556" s="171" t="s">
        <v>15341</v>
      </c>
      <c r="E22556" s="11">
        <v>45536</v>
      </c>
      <c r="F22556">
        <v>0</v>
      </c>
      <c r="G22556">
        <v>0</v>
      </c>
      <c r="I22556">
        <v>0</v>
      </c>
      <c r="J22556">
        <v>0</v>
      </c>
      <c r="L22556">
        <v>0</v>
      </c>
      <c r="N22556">
        <v>0</v>
      </c>
      <c r="P22556">
        <v>0</v>
      </c>
      <c r="Q22556">
        <v>0</v>
      </c>
      <c r="S22556">
        <v>0</v>
      </c>
    </row>
    <row r="22557" spans="1:19" x14ac:dyDescent="0.3">
      <c r="A22557" t="str">
        <f t="shared" si="15"/>
        <v>Marys CenterCPP-FV FFSep-24</v>
      </c>
      <c r="B22557" s="171" t="s">
        <v>45477</v>
      </c>
      <c r="C22557" s="171" t="s">
        <v>15347</v>
      </c>
      <c r="D22557" s="171" t="s">
        <v>80</v>
      </c>
      <c r="E22557" s="11">
        <v>45536</v>
      </c>
      <c r="F22557">
        <v>1.5</v>
      </c>
      <c r="G22557">
        <v>1</v>
      </c>
      <c r="I22557">
        <v>5</v>
      </c>
      <c r="J22557">
        <v>9</v>
      </c>
      <c r="L22557">
        <v>6</v>
      </c>
      <c r="N22557">
        <v>5</v>
      </c>
      <c r="P22557">
        <v>0</v>
      </c>
      <c r="Q22557">
        <v>0</v>
      </c>
      <c r="S22557">
        <v>0</v>
      </c>
    </row>
    <row r="22558" spans="1:19" x14ac:dyDescent="0.3">
      <c r="A22558" t="str">
        <f t="shared" si="15"/>
        <v>PIECECPP-FV DCSSep-24</v>
      </c>
      <c r="B22558" s="171" t="s">
        <v>45478</v>
      </c>
      <c r="C22558" s="171" t="s">
        <v>203</v>
      </c>
      <c r="D22558" s="171" t="s">
        <v>15341</v>
      </c>
      <c r="E22558" s="11">
        <v>45536</v>
      </c>
      <c r="F22558">
        <v>0</v>
      </c>
      <c r="G22558">
        <v>0</v>
      </c>
      <c r="I22558">
        <v>0</v>
      </c>
      <c r="J22558">
        <v>0</v>
      </c>
      <c r="L22558">
        <v>0</v>
      </c>
      <c r="N22558">
        <v>0</v>
      </c>
      <c r="P22558">
        <v>0</v>
      </c>
      <c r="Q22558">
        <v>0</v>
      </c>
      <c r="S22558">
        <v>0</v>
      </c>
    </row>
    <row r="22559" spans="1:19" x14ac:dyDescent="0.3">
      <c r="A22559" t="str">
        <f t="shared" si="15"/>
        <v>PIECECPP-FV FFSep-24</v>
      </c>
      <c r="B22559" s="171" t="s">
        <v>45479</v>
      </c>
      <c r="C22559" s="171" t="s">
        <v>203</v>
      </c>
      <c r="D22559" s="171" t="s">
        <v>80</v>
      </c>
      <c r="E22559" s="11">
        <v>45536</v>
      </c>
      <c r="F22559">
        <v>3</v>
      </c>
      <c r="G22559">
        <v>3</v>
      </c>
      <c r="I22559">
        <v>3</v>
      </c>
      <c r="J22559">
        <v>15</v>
      </c>
      <c r="L22559">
        <v>15</v>
      </c>
      <c r="N22559">
        <v>3</v>
      </c>
      <c r="P22559">
        <v>0</v>
      </c>
      <c r="Q22559">
        <v>0</v>
      </c>
      <c r="S22559">
        <v>0</v>
      </c>
    </row>
    <row r="22560" spans="1:19" x14ac:dyDescent="0.3">
      <c r="A22560" t="str">
        <f t="shared" si="15"/>
        <v>Medstar GeorgetownCPP-FV DCSSep-24</v>
      </c>
      <c r="B22560" s="171" t="s">
        <v>45480</v>
      </c>
      <c r="C22560" s="171" t="s">
        <v>24281</v>
      </c>
      <c r="D22560" s="171" t="s">
        <v>15341</v>
      </c>
      <c r="E22560" s="11">
        <v>45536</v>
      </c>
      <c r="F22560">
        <v>0</v>
      </c>
      <c r="G22560">
        <v>0</v>
      </c>
      <c r="I22560">
        <v>0</v>
      </c>
      <c r="J22560">
        <v>0</v>
      </c>
      <c r="L22560">
        <v>0</v>
      </c>
      <c r="N22560">
        <v>0</v>
      </c>
      <c r="P22560">
        <v>0</v>
      </c>
      <c r="Q22560">
        <v>0</v>
      </c>
      <c r="S22560">
        <v>0</v>
      </c>
    </row>
    <row r="22561" spans="1:19" x14ac:dyDescent="0.3">
      <c r="A22561" t="str">
        <f t="shared" si="15"/>
        <v>Medstar GeorgetownCPP-FV FFSep-24</v>
      </c>
      <c r="B22561" s="171" t="s">
        <v>45481</v>
      </c>
      <c r="C22561" s="171" t="s">
        <v>24281</v>
      </c>
      <c r="D22561" s="171" t="s">
        <v>80</v>
      </c>
      <c r="E22561" s="11">
        <v>45536</v>
      </c>
      <c r="F22561">
        <v>0</v>
      </c>
      <c r="G22561">
        <v>0</v>
      </c>
      <c r="I22561">
        <v>0</v>
      </c>
      <c r="J22561">
        <v>0</v>
      </c>
      <c r="L22561">
        <v>0</v>
      </c>
      <c r="N22561">
        <v>0</v>
      </c>
      <c r="P22561">
        <v>0</v>
      </c>
      <c r="Q22561">
        <v>0</v>
      </c>
      <c r="S22561">
        <v>0</v>
      </c>
    </row>
    <row r="22562" spans="1:19" x14ac:dyDescent="0.3">
      <c r="A22562" t="str">
        <f t="shared" si="15"/>
        <v>Better MorningsFFT FFSep-24</v>
      </c>
      <c r="B22562" s="171" t="s">
        <v>45482</v>
      </c>
      <c r="C22562" s="171" t="s">
        <v>24284</v>
      </c>
      <c r="D22562" s="171" t="s">
        <v>80</v>
      </c>
      <c r="E22562" s="11">
        <v>45536</v>
      </c>
      <c r="F22562">
        <v>3</v>
      </c>
      <c r="G22562">
        <v>3</v>
      </c>
      <c r="I22562">
        <v>8</v>
      </c>
      <c r="J22562">
        <v>18</v>
      </c>
      <c r="L22562">
        <v>17</v>
      </c>
      <c r="N22562">
        <v>8</v>
      </c>
      <c r="P22562">
        <v>0</v>
      </c>
      <c r="Q22562">
        <v>0</v>
      </c>
      <c r="S22562">
        <v>0</v>
      </c>
    </row>
    <row r="22563" spans="1:19" x14ac:dyDescent="0.3">
      <c r="A22563" t="str">
        <f t="shared" si="15"/>
        <v>CatholicFFT FFSep-24</v>
      </c>
      <c r="B22563" s="171" t="s">
        <v>45483</v>
      </c>
      <c r="C22563" s="171" t="s">
        <v>18126</v>
      </c>
      <c r="D22563" s="171" t="s">
        <v>80</v>
      </c>
      <c r="E22563" s="11">
        <v>45536</v>
      </c>
      <c r="F22563">
        <v>0</v>
      </c>
      <c r="G22563">
        <v>0</v>
      </c>
      <c r="I22563">
        <v>0</v>
      </c>
      <c r="J22563">
        <v>0</v>
      </c>
      <c r="L22563">
        <v>0</v>
      </c>
      <c r="N22563">
        <v>0</v>
      </c>
      <c r="P22563">
        <v>0</v>
      </c>
      <c r="Q22563">
        <v>0</v>
      </c>
      <c r="S22563">
        <v>0</v>
      </c>
    </row>
    <row r="22564" spans="1:19" x14ac:dyDescent="0.3">
      <c r="A22564" t="str">
        <f t="shared" si="15"/>
        <v>First Home CareFFT FFSep-24</v>
      </c>
      <c r="B22564" s="171" t="s">
        <v>45484</v>
      </c>
      <c r="C22564" s="171" t="s">
        <v>128</v>
      </c>
      <c r="D22564" s="171" t="s">
        <v>80</v>
      </c>
      <c r="E22564" s="11">
        <v>45536</v>
      </c>
      <c r="F22564">
        <v>0</v>
      </c>
      <c r="G22564">
        <v>0</v>
      </c>
      <c r="I22564">
        <v>0</v>
      </c>
      <c r="J22564">
        <v>0</v>
      </c>
      <c r="L22564">
        <v>0</v>
      </c>
      <c r="N22564">
        <v>0</v>
      </c>
      <c r="P22564">
        <v>0</v>
      </c>
      <c r="Q22564">
        <v>0</v>
      </c>
      <c r="S22564">
        <v>0</v>
      </c>
    </row>
    <row r="22565" spans="1:19" x14ac:dyDescent="0.3">
      <c r="A22565" t="str">
        <f t="shared" si="15"/>
        <v>Foundations for Home &amp; CommunityFFT FFSep-24</v>
      </c>
      <c r="B22565" s="171" t="s">
        <v>45485</v>
      </c>
      <c r="C22565" s="171" t="s">
        <v>14824</v>
      </c>
      <c r="D22565" s="171" t="s">
        <v>80</v>
      </c>
      <c r="E22565" s="11">
        <v>45536</v>
      </c>
      <c r="F22565">
        <v>0</v>
      </c>
      <c r="G22565">
        <v>0</v>
      </c>
      <c r="I22565">
        <v>0</v>
      </c>
      <c r="J22565">
        <v>0</v>
      </c>
      <c r="L22565">
        <v>0</v>
      </c>
      <c r="N22565">
        <v>0</v>
      </c>
      <c r="P22565">
        <v>0</v>
      </c>
      <c r="Q22565">
        <v>0</v>
      </c>
      <c r="S22565">
        <v>0</v>
      </c>
    </row>
    <row r="22566" spans="1:19" x14ac:dyDescent="0.3">
      <c r="A22566" t="str">
        <f t="shared" si="15"/>
        <v>HillcrestFFT FFSep-24</v>
      </c>
      <c r="B22566" s="171" t="s">
        <v>45486</v>
      </c>
      <c r="C22566" s="171" t="s">
        <v>152</v>
      </c>
      <c r="D22566" s="171" t="s">
        <v>80</v>
      </c>
      <c r="E22566" s="11">
        <v>45536</v>
      </c>
      <c r="F22566">
        <v>0</v>
      </c>
      <c r="G22566">
        <v>0</v>
      </c>
      <c r="I22566">
        <v>0</v>
      </c>
      <c r="J22566">
        <v>0</v>
      </c>
      <c r="L22566">
        <v>0</v>
      </c>
      <c r="N22566">
        <v>0</v>
      </c>
      <c r="P22566">
        <v>0</v>
      </c>
      <c r="Q22566">
        <v>0</v>
      </c>
      <c r="S22566">
        <v>0</v>
      </c>
    </row>
    <row r="22567" spans="1:19" x14ac:dyDescent="0.3">
      <c r="A22567" t="str">
        <f t="shared" si="15"/>
        <v>PASSFFT FFSep-24</v>
      </c>
      <c r="B22567" s="171" t="s">
        <v>45487</v>
      </c>
      <c r="C22567" s="171" t="s">
        <v>194</v>
      </c>
      <c r="D22567" s="171" t="s">
        <v>80</v>
      </c>
      <c r="E22567" s="11">
        <v>45536</v>
      </c>
      <c r="F22567">
        <v>2</v>
      </c>
      <c r="G22567">
        <v>5</v>
      </c>
      <c r="I22567">
        <v>9</v>
      </c>
      <c r="J22567">
        <v>12</v>
      </c>
      <c r="L22567">
        <v>27</v>
      </c>
      <c r="N22567">
        <v>7</v>
      </c>
      <c r="P22567">
        <v>4</v>
      </c>
      <c r="Q22567">
        <v>5</v>
      </c>
      <c r="S22567">
        <v>2</v>
      </c>
    </row>
    <row r="22568" spans="1:19" x14ac:dyDescent="0.3">
      <c r="A22568" t="str">
        <f t="shared" si="15"/>
        <v>Better MorningsIHCBS FFSep-24</v>
      </c>
      <c r="B22568" s="171" t="s">
        <v>45488</v>
      </c>
      <c r="C22568" s="171" t="s">
        <v>39930</v>
      </c>
      <c r="D22568" s="171" t="s">
        <v>80</v>
      </c>
      <c r="E22568" s="11">
        <v>45536</v>
      </c>
      <c r="F22568">
        <v>4</v>
      </c>
      <c r="G22568">
        <v>7</v>
      </c>
      <c r="I22568">
        <v>13</v>
      </c>
      <c r="J22568">
        <v>16</v>
      </c>
      <c r="L22568">
        <v>28</v>
      </c>
      <c r="N22568">
        <v>7</v>
      </c>
      <c r="P22568">
        <v>5</v>
      </c>
      <c r="Q22568">
        <v>7</v>
      </c>
      <c r="S22568">
        <v>6</v>
      </c>
    </row>
    <row r="22569" spans="1:19" x14ac:dyDescent="0.3">
      <c r="A22569" t="str">
        <f t="shared" si="15"/>
        <v>HillcrestIHCBS FFSep-24</v>
      </c>
      <c r="B22569" s="171" t="s">
        <v>45489</v>
      </c>
      <c r="C22569" s="171" t="s">
        <v>39933</v>
      </c>
      <c r="D22569" s="171" t="s">
        <v>80</v>
      </c>
      <c r="E22569" s="11">
        <v>45536</v>
      </c>
      <c r="F22569">
        <v>2</v>
      </c>
      <c r="G22569">
        <v>1</v>
      </c>
      <c r="I22569">
        <v>17</v>
      </c>
      <c r="J22569">
        <v>8</v>
      </c>
      <c r="L22569">
        <v>4</v>
      </c>
      <c r="N22569">
        <v>16</v>
      </c>
      <c r="P22569">
        <v>1</v>
      </c>
      <c r="Q22569">
        <v>1</v>
      </c>
      <c r="S22569">
        <v>1</v>
      </c>
    </row>
    <row r="22570" spans="1:19" x14ac:dyDescent="0.3">
      <c r="A22570" t="str">
        <f t="shared" si="15"/>
        <v>LESIHCBS FFSep-24</v>
      </c>
      <c r="B22570" s="171" t="s">
        <v>45490</v>
      </c>
      <c r="C22570" s="171" t="s">
        <v>39936</v>
      </c>
      <c r="D22570" s="171" t="s">
        <v>80</v>
      </c>
      <c r="E22570" s="11">
        <v>45536</v>
      </c>
      <c r="F22570">
        <v>0</v>
      </c>
      <c r="G22570">
        <v>1</v>
      </c>
      <c r="I22570">
        <v>0</v>
      </c>
      <c r="J22570">
        <v>0</v>
      </c>
      <c r="L22570">
        <v>4</v>
      </c>
      <c r="N22570">
        <v>0</v>
      </c>
      <c r="P22570">
        <v>0</v>
      </c>
      <c r="Q22570">
        <v>0</v>
      </c>
      <c r="S22570">
        <v>0</v>
      </c>
    </row>
    <row r="22571" spans="1:19" x14ac:dyDescent="0.3">
      <c r="A22571" t="str">
        <f t="shared" si="15"/>
        <v>MBI HSIHCBS FFSep-24</v>
      </c>
      <c r="B22571" s="171" t="s">
        <v>45491</v>
      </c>
      <c r="C22571" s="171" t="s">
        <v>39939</v>
      </c>
      <c r="D22571" s="171" t="s">
        <v>80</v>
      </c>
      <c r="E22571" s="11">
        <v>45536</v>
      </c>
      <c r="F22571">
        <v>2</v>
      </c>
      <c r="G22571">
        <v>1</v>
      </c>
      <c r="I22571">
        <v>6</v>
      </c>
      <c r="J22571">
        <v>8</v>
      </c>
      <c r="L22571">
        <v>4</v>
      </c>
      <c r="N22571">
        <v>5</v>
      </c>
      <c r="P22571">
        <v>1</v>
      </c>
      <c r="Q22571">
        <v>1</v>
      </c>
      <c r="S22571">
        <v>1</v>
      </c>
    </row>
    <row r="22572" spans="1:19" x14ac:dyDescent="0.3">
      <c r="A22572" t="str">
        <f t="shared" si="15"/>
        <v>MD Family ResourcesIHCBS FFSep-24</v>
      </c>
      <c r="B22572" s="171" t="s">
        <v>45492</v>
      </c>
      <c r="C22572" s="171" t="s">
        <v>39942</v>
      </c>
      <c r="D22572" s="171" t="s">
        <v>80</v>
      </c>
      <c r="E22572" s="11">
        <v>45536</v>
      </c>
      <c r="F22572">
        <v>0</v>
      </c>
      <c r="G22572">
        <v>3</v>
      </c>
      <c r="I22572">
        <v>1</v>
      </c>
      <c r="J22572">
        <v>0</v>
      </c>
      <c r="L22572">
        <v>12</v>
      </c>
      <c r="N22572">
        <v>1</v>
      </c>
      <c r="P22572">
        <v>0</v>
      </c>
      <c r="Q22572">
        <v>0</v>
      </c>
      <c r="S22572">
        <v>0</v>
      </c>
    </row>
    <row r="22573" spans="1:19" x14ac:dyDescent="0.3">
      <c r="A22573" t="str">
        <f t="shared" si="15"/>
        <v>LCSMST FFSep-24</v>
      </c>
      <c r="B22573" s="171" t="s">
        <v>45493</v>
      </c>
      <c r="C22573" s="171" t="s">
        <v>18137</v>
      </c>
      <c r="D22573" s="171" t="s">
        <v>80</v>
      </c>
      <c r="E22573" s="11">
        <v>45536</v>
      </c>
      <c r="F22573">
        <v>0</v>
      </c>
      <c r="G22573">
        <v>0</v>
      </c>
      <c r="I22573">
        <v>0</v>
      </c>
      <c r="J22573">
        <v>0</v>
      </c>
      <c r="L22573">
        <v>0</v>
      </c>
      <c r="N22573">
        <v>0</v>
      </c>
      <c r="P22573">
        <v>0</v>
      </c>
      <c r="Q22573">
        <v>0</v>
      </c>
      <c r="S22573">
        <v>0</v>
      </c>
    </row>
    <row r="22574" spans="1:19" x14ac:dyDescent="0.3">
      <c r="A22574" t="str">
        <f t="shared" si="15"/>
        <v>MBI HSMST FFSep-24</v>
      </c>
      <c r="B22574" s="171" t="s">
        <v>45494</v>
      </c>
      <c r="C22574" s="171" t="s">
        <v>18140</v>
      </c>
      <c r="D22574" s="171" t="s">
        <v>80</v>
      </c>
      <c r="E22574" s="11">
        <v>45536</v>
      </c>
      <c r="F22574">
        <v>2</v>
      </c>
      <c r="G22574">
        <v>4</v>
      </c>
      <c r="I22574">
        <v>10</v>
      </c>
      <c r="J22574">
        <v>10</v>
      </c>
      <c r="L22574">
        <v>20</v>
      </c>
      <c r="N22574">
        <v>9</v>
      </c>
      <c r="P22574">
        <v>1</v>
      </c>
      <c r="Q22574">
        <v>1</v>
      </c>
      <c r="S22574">
        <v>1</v>
      </c>
    </row>
    <row r="22575" spans="1:19" x14ac:dyDescent="0.3">
      <c r="A22575" t="str">
        <f t="shared" si="15"/>
        <v>Youth VillagesMST FFSep-24</v>
      </c>
      <c r="B22575" s="171" t="s">
        <v>45495</v>
      </c>
      <c r="C22575" s="171" t="s">
        <v>236</v>
      </c>
      <c r="D22575" s="171" t="s">
        <v>80</v>
      </c>
      <c r="E22575" s="11">
        <v>45536</v>
      </c>
      <c r="F22575">
        <v>0</v>
      </c>
      <c r="G22575">
        <v>0</v>
      </c>
      <c r="I22575">
        <v>0</v>
      </c>
      <c r="J22575">
        <v>0</v>
      </c>
      <c r="L22575">
        <v>0</v>
      </c>
      <c r="N22575">
        <v>0</v>
      </c>
      <c r="P22575">
        <v>0</v>
      </c>
      <c r="Q22575">
        <v>0</v>
      </c>
      <c r="S22575">
        <v>0</v>
      </c>
    </row>
    <row r="22576" spans="1:19" x14ac:dyDescent="0.3">
      <c r="A22576" t="str">
        <f t="shared" si="15"/>
        <v>Youth VillagesMST-PSB FFSep-24</v>
      </c>
      <c r="B22576" s="171" t="s">
        <v>45496</v>
      </c>
      <c r="C22576" s="171" t="s">
        <v>239</v>
      </c>
      <c r="D22576" s="171" t="s">
        <v>80</v>
      </c>
      <c r="E22576" s="11">
        <v>45536</v>
      </c>
      <c r="F22576">
        <v>0</v>
      </c>
      <c r="G22576">
        <v>0</v>
      </c>
      <c r="I22576">
        <v>0</v>
      </c>
      <c r="J22576">
        <v>0</v>
      </c>
      <c r="L22576">
        <v>0</v>
      </c>
      <c r="N22576">
        <v>0</v>
      </c>
      <c r="P22576">
        <v>0</v>
      </c>
      <c r="Q22576">
        <v>0</v>
      </c>
      <c r="S22576">
        <v>0</v>
      </c>
    </row>
    <row r="22577" spans="1:19" x14ac:dyDescent="0.3">
      <c r="A22577" t="str">
        <f t="shared" si="15"/>
        <v>Marys CenterPCIT FFSep-24</v>
      </c>
      <c r="B22577" s="171" t="s">
        <v>45497</v>
      </c>
      <c r="C22577" s="171" t="s">
        <v>176</v>
      </c>
      <c r="D22577" s="171" t="s">
        <v>80</v>
      </c>
      <c r="E22577" s="11">
        <v>45536</v>
      </c>
      <c r="F22577">
        <v>2</v>
      </c>
      <c r="G22577">
        <v>2</v>
      </c>
      <c r="I22577">
        <v>1</v>
      </c>
      <c r="J22577">
        <v>11</v>
      </c>
      <c r="L22577">
        <v>11</v>
      </c>
      <c r="N22577">
        <v>1</v>
      </c>
      <c r="P22577">
        <v>1</v>
      </c>
      <c r="Q22577">
        <v>5</v>
      </c>
      <c r="S22577">
        <v>0</v>
      </c>
    </row>
    <row r="22578" spans="1:19" x14ac:dyDescent="0.3">
      <c r="A22578" t="str">
        <f t="shared" si="15"/>
        <v>PIECEPCIT FFSep-24</v>
      </c>
      <c r="B22578" s="171" t="s">
        <v>45498</v>
      </c>
      <c r="C22578" s="171" t="s">
        <v>206</v>
      </c>
      <c r="D22578" s="171" t="s">
        <v>80</v>
      </c>
      <c r="E22578" s="11">
        <v>45536</v>
      </c>
      <c r="F22578">
        <v>1.5</v>
      </c>
      <c r="G22578">
        <v>2</v>
      </c>
      <c r="I22578">
        <v>2</v>
      </c>
      <c r="J22578">
        <v>7</v>
      </c>
      <c r="L22578">
        <v>8</v>
      </c>
      <c r="N22578">
        <v>1</v>
      </c>
      <c r="P22578">
        <v>0</v>
      </c>
      <c r="Q22578">
        <v>0</v>
      </c>
      <c r="S22578">
        <v>1</v>
      </c>
    </row>
    <row r="22579" spans="1:19" x14ac:dyDescent="0.3">
      <c r="A22579" t="str">
        <f t="shared" si="15"/>
        <v>Marys CenterPCIT DCSSep-24</v>
      </c>
      <c r="B22579" s="171" t="s">
        <v>45499</v>
      </c>
      <c r="C22579" s="171" t="s">
        <v>176</v>
      </c>
      <c r="D22579" s="171" t="s">
        <v>15341</v>
      </c>
      <c r="E22579" s="11">
        <v>45536</v>
      </c>
      <c r="F22579">
        <v>0</v>
      </c>
      <c r="G22579">
        <v>0</v>
      </c>
      <c r="I22579">
        <v>0</v>
      </c>
      <c r="J22579">
        <v>0</v>
      </c>
      <c r="L22579">
        <v>0</v>
      </c>
      <c r="N22579">
        <v>0</v>
      </c>
      <c r="P22579">
        <v>0</v>
      </c>
      <c r="Q22579">
        <v>0</v>
      </c>
      <c r="S22579">
        <v>0</v>
      </c>
    </row>
    <row r="22580" spans="1:19" x14ac:dyDescent="0.3">
      <c r="A22580" t="str">
        <f t="shared" si="15"/>
        <v>PIECEPCIT DCSSep-24</v>
      </c>
      <c r="B22580" s="171" t="s">
        <v>45500</v>
      </c>
      <c r="C22580" s="171" t="s">
        <v>206</v>
      </c>
      <c r="D22580" s="171" t="s">
        <v>15341</v>
      </c>
      <c r="E22580" s="11">
        <v>45536</v>
      </c>
      <c r="F22580">
        <v>0</v>
      </c>
      <c r="G22580">
        <v>0</v>
      </c>
      <c r="I22580">
        <v>0</v>
      </c>
      <c r="J22580">
        <v>0</v>
      </c>
      <c r="L22580">
        <v>0</v>
      </c>
      <c r="N22580">
        <v>0</v>
      </c>
      <c r="P22580">
        <v>0</v>
      </c>
      <c r="Q22580">
        <v>0</v>
      </c>
      <c r="S22580">
        <v>0</v>
      </c>
    </row>
    <row r="22581" spans="1:19" x14ac:dyDescent="0.3">
      <c r="A22581" t="str">
        <f t="shared" si="15"/>
        <v>Community ConnectionsPCIT DCSSep-24</v>
      </c>
      <c r="B22581" s="171" t="s">
        <v>45501</v>
      </c>
      <c r="C22581" s="171" t="s">
        <v>16544</v>
      </c>
      <c r="D22581" s="171" t="s">
        <v>15341</v>
      </c>
      <c r="E22581" s="11">
        <v>45536</v>
      </c>
      <c r="F22581">
        <v>0</v>
      </c>
      <c r="G22581">
        <v>0</v>
      </c>
      <c r="I22581">
        <v>0</v>
      </c>
      <c r="J22581">
        <v>0</v>
      </c>
      <c r="L22581">
        <v>0</v>
      </c>
      <c r="N22581">
        <v>0</v>
      </c>
      <c r="P22581">
        <v>0</v>
      </c>
      <c r="Q22581">
        <v>0</v>
      </c>
      <c r="S22581">
        <v>0</v>
      </c>
    </row>
    <row r="22582" spans="1:19" x14ac:dyDescent="0.3">
      <c r="A22582" t="str">
        <f t="shared" si="15"/>
        <v>Community ConnectionsPCIT FFSep-24</v>
      </c>
      <c r="B22582" s="171" t="s">
        <v>45502</v>
      </c>
      <c r="C22582" s="171" t="s">
        <v>16544</v>
      </c>
      <c r="D22582" s="171" t="s">
        <v>80</v>
      </c>
      <c r="E22582" s="11">
        <v>45536</v>
      </c>
      <c r="F22582">
        <v>0</v>
      </c>
      <c r="G22582">
        <v>0</v>
      </c>
      <c r="I22582">
        <v>0</v>
      </c>
      <c r="J22582">
        <v>0</v>
      </c>
      <c r="L22582">
        <v>0</v>
      </c>
      <c r="N22582">
        <v>0</v>
      </c>
      <c r="P22582">
        <v>0</v>
      </c>
      <c r="Q22582">
        <v>0</v>
      </c>
      <c r="S22582">
        <v>0</v>
      </c>
    </row>
    <row r="22583" spans="1:19" x14ac:dyDescent="0.3">
      <c r="A22583" t="str">
        <f t="shared" si="15"/>
        <v>Medstar GeorgetownPCIT DCSSep-24</v>
      </c>
      <c r="B22583" s="171" t="s">
        <v>45503</v>
      </c>
      <c r="C22583" s="171" t="s">
        <v>24315</v>
      </c>
      <c r="D22583" s="171" t="s">
        <v>15341</v>
      </c>
      <c r="E22583" s="11">
        <v>45536</v>
      </c>
      <c r="F22583">
        <v>0</v>
      </c>
      <c r="G22583">
        <v>0</v>
      </c>
      <c r="I22583">
        <v>0</v>
      </c>
      <c r="J22583">
        <v>0</v>
      </c>
      <c r="L22583">
        <v>0</v>
      </c>
      <c r="N22583">
        <v>0</v>
      </c>
      <c r="P22583">
        <v>0</v>
      </c>
      <c r="Q22583">
        <v>0</v>
      </c>
      <c r="S22583">
        <v>0</v>
      </c>
    </row>
    <row r="22584" spans="1:19" x14ac:dyDescent="0.3">
      <c r="A22584" t="str">
        <f t="shared" si="15"/>
        <v>Medstar GeorgetownPCIT FFSep-24</v>
      </c>
      <c r="B22584" s="171" t="s">
        <v>45504</v>
      </c>
      <c r="C22584" s="171" t="s">
        <v>24315</v>
      </c>
      <c r="D22584" s="171" t="s">
        <v>80</v>
      </c>
      <c r="E22584" s="11">
        <v>45536</v>
      </c>
      <c r="F22584">
        <v>0</v>
      </c>
      <c r="G22584">
        <v>0</v>
      </c>
      <c r="I22584">
        <v>0</v>
      </c>
      <c r="J22584">
        <v>0</v>
      </c>
      <c r="L22584">
        <v>0</v>
      </c>
      <c r="N22584">
        <v>0</v>
      </c>
      <c r="P22584">
        <v>0</v>
      </c>
      <c r="Q22584">
        <v>0</v>
      </c>
      <c r="S22584">
        <v>0</v>
      </c>
    </row>
    <row r="22585" spans="1:19" x14ac:dyDescent="0.3">
      <c r="A22585" t="str">
        <f t="shared" si="15"/>
        <v>Marys CenterPCIT-T FFSep-24</v>
      </c>
      <c r="B22585" s="171" t="s">
        <v>45505</v>
      </c>
      <c r="C22585" s="171" t="s">
        <v>34833</v>
      </c>
      <c r="D22585" s="171" t="s">
        <v>80</v>
      </c>
      <c r="E22585" s="11">
        <v>45536</v>
      </c>
      <c r="F22585">
        <v>1.5</v>
      </c>
      <c r="G22585">
        <v>2</v>
      </c>
      <c r="I22585">
        <v>1</v>
      </c>
      <c r="J22585">
        <v>9</v>
      </c>
      <c r="L22585">
        <v>11</v>
      </c>
      <c r="N22585">
        <v>1</v>
      </c>
      <c r="P22585">
        <v>0</v>
      </c>
      <c r="Q22585">
        <v>0</v>
      </c>
      <c r="S22585">
        <v>0</v>
      </c>
    </row>
    <row r="22586" spans="1:19" x14ac:dyDescent="0.3">
      <c r="A22586" t="str">
        <f t="shared" si="15"/>
        <v>PIECEPCIT-T FFSep-24</v>
      </c>
      <c r="B22586" s="171" t="s">
        <v>45506</v>
      </c>
      <c r="C22586" s="171" t="s">
        <v>34836</v>
      </c>
      <c r="D22586" s="171" t="s">
        <v>80</v>
      </c>
      <c r="E22586" s="11">
        <v>45536</v>
      </c>
      <c r="F22586">
        <v>1.5</v>
      </c>
      <c r="G22586">
        <v>1.5</v>
      </c>
      <c r="I22586">
        <v>2</v>
      </c>
      <c r="J22586">
        <v>7</v>
      </c>
      <c r="L22586">
        <v>7</v>
      </c>
      <c r="N22586">
        <v>1</v>
      </c>
      <c r="P22586">
        <v>0</v>
      </c>
      <c r="Q22586">
        <v>0</v>
      </c>
      <c r="S22586">
        <v>1</v>
      </c>
    </row>
    <row r="22587" spans="1:19" x14ac:dyDescent="0.3">
      <c r="A22587" t="str">
        <f t="shared" si="15"/>
        <v>Community ConnectionsTF-CBT FFSep-24</v>
      </c>
      <c r="B22587" s="171" t="s">
        <v>45507</v>
      </c>
      <c r="C22587" s="171" t="s">
        <v>113</v>
      </c>
      <c r="D22587" s="171" t="s">
        <v>80</v>
      </c>
      <c r="E22587" s="11">
        <v>45536</v>
      </c>
      <c r="F22587">
        <v>0</v>
      </c>
      <c r="G22587">
        <v>0</v>
      </c>
      <c r="I22587">
        <v>0</v>
      </c>
      <c r="J22587">
        <v>0</v>
      </c>
      <c r="L22587">
        <v>0</v>
      </c>
      <c r="N22587">
        <v>0</v>
      </c>
      <c r="P22587">
        <v>0</v>
      </c>
      <c r="Q22587">
        <v>0</v>
      </c>
      <c r="S22587">
        <v>0</v>
      </c>
    </row>
    <row r="22588" spans="1:19" x14ac:dyDescent="0.3">
      <c r="A22588" t="str">
        <f t="shared" si="15"/>
        <v>First Home CareTF-CBT FFSep-24</v>
      </c>
      <c r="B22588" s="171" t="s">
        <v>45508</v>
      </c>
      <c r="C22588" s="171" t="s">
        <v>131</v>
      </c>
      <c r="D22588" s="171" t="s">
        <v>80</v>
      </c>
      <c r="E22588" s="11">
        <v>45536</v>
      </c>
      <c r="F22588">
        <v>0</v>
      </c>
      <c r="G22588">
        <v>0</v>
      </c>
      <c r="I22588">
        <v>0</v>
      </c>
      <c r="J22588">
        <v>0</v>
      </c>
      <c r="L22588">
        <v>0</v>
      </c>
      <c r="N22588">
        <v>0</v>
      </c>
      <c r="P22588">
        <v>0</v>
      </c>
      <c r="Q22588">
        <v>0</v>
      </c>
      <c r="S22588">
        <v>0</v>
      </c>
    </row>
    <row r="22589" spans="1:19" x14ac:dyDescent="0.3">
      <c r="A22589" t="str">
        <f t="shared" si="15"/>
        <v>Foundations for Home &amp; CommunityTF-CBT FFSep-24</v>
      </c>
      <c r="B22589" s="171" t="s">
        <v>45509</v>
      </c>
      <c r="C22589" s="171" t="s">
        <v>14843</v>
      </c>
      <c r="D22589" s="171" t="s">
        <v>80</v>
      </c>
      <c r="E22589" s="11">
        <v>45536</v>
      </c>
      <c r="F22589">
        <v>0</v>
      </c>
      <c r="G22589">
        <v>0</v>
      </c>
      <c r="I22589">
        <v>0</v>
      </c>
      <c r="J22589">
        <v>0</v>
      </c>
      <c r="L22589">
        <v>0</v>
      </c>
      <c r="N22589">
        <v>0</v>
      </c>
      <c r="P22589">
        <v>0</v>
      </c>
      <c r="Q22589">
        <v>0</v>
      </c>
      <c r="S22589">
        <v>0</v>
      </c>
    </row>
    <row r="22590" spans="1:19" x14ac:dyDescent="0.3">
      <c r="A22590" t="str">
        <f t="shared" si="15"/>
        <v>HillcrestTF-CBT FFSep-24</v>
      </c>
      <c r="B22590" s="171" t="s">
        <v>45510</v>
      </c>
      <c r="C22590" s="171" t="s">
        <v>155</v>
      </c>
      <c r="D22590" s="171" t="s">
        <v>80</v>
      </c>
      <c r="E22590" s="11">
        <v>45536</v>
      </c>
      <c r="F22590">
        <v>3.5</v>
      </c>
      <c r="G22590">
        <v>7</v>
      </c>
      <c r="I22590">
        <v>6</v>
      </c>
      <c r="J22590">
        <v>20</v>
      </c>
      <c r="L22590">
        <v>37</v>
      </c>
      <c r="N22590">
        <v>6</v>
      </c>
      <c r="P22590">
        <v>0</v>
      </c>
      <c r="Q22590">
        <v>1</v>
      </c>
      <c r="S22590">
        <v>0</v>
      </c>
    </row>
    <row r="22591" spans="1:19" x14ac:dyDescent="0.3">
      <c r="A22591" t="str">
        <f t="shared" si="15"/>
        <v>LAYCTF-CBT FFSep-24</v>
      </c>
      <c r="B22591" s="171" t="s">
        <v>45511</v>
      </c>
      <c r="C22591" s="171" t="s">
        <v>16232</v>
      </c>
      <c r="D22591" s="171" t="s">
        <v>80</v>
      </c>
      <c r="E22591" s="11">
        <v>45536</v>
      </c>
      <c r="F22591">
        <v>2</v>
      </c>
      <c r="G22591">
        <v>4</v>
      </c>
      <c r="I22591">
        <v>3</v>
      </c>
      <c r="J22591">
        <v>12</v>
      </c>
      <c r="L22591">
        <v>24</v>
      </c>
      <c r="N22591">
        <v>2</v>
      </c>
      <c r="P22591">
        <v>2</v>
      </c>
      <c r="Q22591">
        <v>3</v>
      </c>
      <c r="S22591">
        <v>1</v>
      </c>
    </row>
    <row r="22592" spans="1:19" x14ac:dyDescent="0.3">
      <c r="A22592" t="str">
        <f t="shared" si="15"/>
        <v>LESTF-CBT FFSep-24</v>
      </c>
      <c r="B22592" s="171" t="s">
        <v>45512</v>
      </c>
      <c r="C22592" s="171" t="s">
        <v>16557</v>
      </c>
      <c r="D22592" s="171" t="s">
        <v>80</v>
      </c>
      <c r="E22592" s="11">
        <v>45536</v>
      </c>
      <c r="F22592">
        <v>0</v>
      </c>
      <c r="G22592">
        <v>0</v>
      </c>
      <c r="I22592">
        <v>0</v>
      </c>
      <c r="J22592">
        <v>0</v>
      </c>
      <c r="L22592">
        <v>0</v>
      </c>
      <c r="N22592">
        <v>0</v>
      </c>
      <c r="P22592">
        <v>0</v>
      </c>
      <c r="Q22592">
        <v>0</v>
      </c>
      <c r="S22592">
        <v>0</v>
      </c>
    </row>
    <row r="22593" spans="1:19" x14ac:dyDescent="0.3">
      <c r="A22593" t="str">
        <f t="shared" si="15"/>
        <v>MD Family ResourcesTF-CBT FFSep-24</v>
      </c>
      <c r="B22593" s="171" t="s">
        <v>45513</v>
      </c>
      <c r="C22593" s="171" t="s">
        <v>188</v>
      </c>
      <c r="D22593" s="171" t="s">
        <v>80</v>
      </c>
      <c r="E22593" s="11">
        <v>45536</v>
      </c>
      <c r="F22593">
        <v>1.5</v>
      </c>
      <c r="G22593">
        <v>3</v>
      </c>
      <c r="I22593">
        <v>4</v>
      </c>
      <c r="J22593">
        <v>8</v>
      </c>
      <c r="L22593">
        <v>17</v>
      </c>
      <c r="N22593">
        <v>4</v>
      </c>
      <c r="P22593">
        <v>0</v>
      </c>
      <c r="Q22593">
        <v>0</v>
      </c>
      <c r="S22593">
        <v>0</v>
      </c>
    </row>
    <row r="22594" spans="1:19" x14ac:dyDescent="0.3">
      <c r="A22594" t="str">
        <f t="shared" si="15"/>
        <v>UniversalTF-CBT FFSep-24</v>
      </c>
      <c r="B22594" s="171" t="s">
        <v>45514</v>
      </c>
      <c r="C22594" s="171" t="s">
        <v>227</v>
      </c>
      <c r="D22594" s="171" t="s">
        <v>80</v>
      </c>
      <c r="E22594" s="11">
        <v>45536</v>
      </c>
      <c r="F22594">
        <v>0</v>
      </c>
      <c r="G22594">
        <v>0</v>
      </c>
      <c r="I22594">
        <v>0</v>
      </c>
      <c r="J22594">
        <v>0</v>
      </c>
      <c r="L22594">
        <v>0</v>
      </c>
      <c r="N22594">
        <v>0</v>
      </c>
      <c r="P22594">
        <v>0</v>
      </c>
      <c r="Q22594">
        <v>0</v>
      </c>
      <c r="S22594">
        <v>0</v>
      </c>
    </row>
    <row r="22595" spans="1:19" x14ac:dyDescent="0.3">
      <c r="A22595" t="str">
        <f t="shared" si="15"/>
        <v>Community ConnectionsTIP FFSep-24</v>
      </c>
      <c r="B22595" s="171" t="s">
        <v>45515</v>
      </c>
      <c r="C22595" s="171" t="s">
        <v>116</v>
      </c>
      <c r="D22595" s="171" t="s">
        <v>80</v>
      </c>
      <c r="E22595" s="11">
        <v>45536</v>
      </c>
      <c r="F22595">
        <v>0</v>
      </c>
      <c r="G22595">
        <v>0</v>
      </c>
      <c r="I22595">
        <v>0</v>
      </c>
      <c r="J22595">
        <v>0</v>
      </c>
      <c r="L22595">
        <v>0</v>
      </c>
      <c r="N22595">
        <v>0</v>
      </c>
      <c r="P22595">
        <v>0</v>
      </c>
      <c r="Q22595">
        <v>0</v>
      </c>
      <c r="S22595">
        <v>0</v>
      </c>
    </row>
    <row r="22596" spans="1:19" x14ac:dyDescent="0.3">
      <c r="A22596" t="str">
        <f t="shared" si="15"/>
        <v>ContemporaryTIP FFSep-24</v>
      </c>
      <c r="B22596" s="171" t="s">
        <v>45516</v>
      </c>
      <c r="C22596" s="171" t="s">
        <v>9862</v>
      </c>
      <c r="D22596" s="171" t="s">
        <v>80</v>
      </c>
      <c r="E22596" s="11">
        <v>45536</v>
      </c>
      <c r="F22596">
        <v>0</v>
      </c>
      <c r="G22596">
        <v>0</v>
      </c>
      <c r="I22596">
        <v>0</v>
      </c>
      <c r="J22596">
        <v>0</v>
      </c>
      <c r="L22596">
        <v>0</v>
      </c>
      <c r="N22596">
        <v>0</v>
      </c>
      <c r="P22596">
        <v>0</v>
      </c>
      <c r="Q22596">
        <v>0</v>
      </c>
      <c r="S22596">
        <v>0</v>
      </c>
    </row>
    <row r="22597" spans="1:19" x14ac:dyDescent="0.3">
      <c r="A22597" t="str">
        <f t="shared" si="15"/>
        <v>FPSTIP FFSep-24</v>
      </c>
      <c r="B22597" s="171" t="s">
        <v>45517</v>
      </c>
      <c r="C22597" s="171" t="s">
        <v>140</v>
      </c>
      <c r="D22597" s="171" t="s">
        <v>80</v>
      </c>
      <c r="E22597" s="11">
        <v>45536</v>
      </c>
      <c r="F22597">
        <v>0</v>
      </c>
      <c r="G22597">
        <v>0</v>
      </c>
      <c r="I22597">
        <v>0</v>
      </c>
      <c r="J22597">
        <v>0</v>
      </c>
      <c r="L22597">
        <v>0</v>
      </c>
      <c r="N22597">
        <v>0</v>
      </c>
      <c r="P22597">
        <v>0</v>
      </c>
      <c r="Q22597">
        <v>0</v>
      </c>
      <c r="S22597">
        <v>0</v>
      </c>
    </row>
    <row r="22598" spans="1:19" x14ac:dyDescent="0.3">
      <c r="A22598" t="str">
        <f t="shared" si="15"/>
        <v>Green DoorTIP FFSep-24</v>
      </c>
      <c r="B22598" s="171" t="s">
        <v>45518</v>
      </c>
      <c r="C22598" s="171" t="s">
        <v>8590</v>
      </c>
      <c r="D22598" s="171" t="s">
        <v>80</v>
      </c>
      <c r="E22598" s="11">
        <v>45536</v>
      </c>
      <c r="F22598">
        <v>0</v>
      </c>
      <c r="G22598">
        <v>0</v>
      </c>
      <c r="I22598">
        <v>0</v>
      </c>
      <c r="J22598">
        <v>0</v>
      </c>
      <c r="L22598">
        <v>0</v>
      </c>
      <c r="N22598">
        <v>0</v>
      </c>
      <c r="P22598">
        <v>0</v>
      </c>
      <c r="Q22598">
        <v>0</v>
      </c>
      <c r="S22598">
        <v>0</v>
      </c>
    </row>
    <row r="22599" spans="1:19" x14ac:dyDescent="0.3">
      <c r="A22599" t="str">
        <f t="shared" si="15"/>
        <v>LESTIP FFSep-24</v>
      </c>
      <c r="B22599" s="171" t="s">
        <v>45519</v>
      </c>
      <c r="C22599" s="171" t="s">
        <v>170</v>
      </c>
      <c r="D22599" s="171" t="s">
        <v>80</v>
      </c>
      <c r="E22599" s="11">
        <v>45536</v>
      </c>
      <c r="F22599">
        <v>2.5</v>
      </c>
      <c r="G22599">
        <v>3.5</v>
      </c>
      <c r="I22599">
        <v>12</v>
      </c>
      <c r="J22599">
        <v>35</v>
      </c>
      <c r="L22599">
        <v>49</v>
      </c>
      <c r="N22599">
        <v>12</v>
      </c>
      <c r="P22599">
        <v>0</v>
      </c>
      <c r="Q22599">
        <v>0</v>
      </c>
      <c r="S22599">
        <v>0</v>
      </c>
    </row>
    <row r="22600" spans="1:19" x14ac:dyDescent="0.3">
      <c r="A22600" t="str">
        <f t="shared" si="15"/>
        <v>MBI HSTIP FFSep-24</v>
      </c>
      <c r="B22600" s="171" t="s">
        <v>45520</v>
      </c>
      <c r="C22600" s="171" t="s">
        <v>182</v>
      </c>
      <c r="D22600" s="171" t="s">
        <v>80</v>
      </c>
      <c r="E22600" s="11">
        <v>45536</v>
      </c>
      <c r="F22600">
        <v>8</v>
      </c>
      <c r="G22600">
        <v>11</v>
      </c>
      <c r="I22600">
        <v>37</v>
      </c>
      <c r="J22600">
        <v>91</v>
      </c>
      <c r="L22600">
        <v>124</v>
      </c>
      <c r="N22600">
        <v>37</v>
      </c>
      <c r="P22600">
        <v>0</v>
      </c>
      <c r="Q22600">
        <v>0</v>
      </c>
      <c r="S22600">
        <v>0</v>
      </c>
    </row>
    <row r="22601" spans="1:19" x14ac:dyDescent="0.3">
      <c r="A22601" t="str">
        <f t="shared" si="15"/>
        <v>PASSTIP FFSep-24</v>
      </c>
      <c r="B22601" s="171" t="s">
        <v>45521</v>
      </c>
      <c r="C22601" s="171" t="s">
        <v>197</v>
      </c>
      <c r="D22601" s="171" t="s">
        <v>80</v>
      </c>
      <c r="E22601" s="11">
        <v>45536</v>
      </c>
      <c r="F22601">
        <v>8</v>
      </c>
      <c r="G22601">
        <v>8</v>
      </c>
      <c r="I22601">
        <v>69</v>
      </c>
      <c r="J22601">
        <v>80</v>
      </c>
      <c r="L22601">
        <v>80</v>
      </c>
      <c r="N22601">
        <v>65</v>
      </c>
      <c r="P22601">
        <v>9</v>
      </c>
      <c r="Q22601">
        <v>10</v>
      </c>
      <c r="S22601">
        <v>4</v>
      </c>
    </row>
    <row r="22602" spans="1:19" x14ac:dyDescent="0.3">
      <c r="A22602" t="str">
        <f t="shared" si="15"/>
        <v>TFCCTIP FFSep-24</v>
      </c>
      <c r="B22602" s="171" t="s">
        <v>45522</v>
      </c>
      <c r="C22602" s="171" t="s">
        <v>218</v>
      </c>
      <c r="D22602" s="171" t="s">
        <v>80</v>
      </c>
      <c r="E22602" s="11">
        <v>45536</v>
      </c>
      <c r="F22602">
        <v>0</v>
      </c>
      <c r="G22602">
        <v>0</v>
      </c>
      <c r="I22602">
        <v>0</v>
      </c>
      <c r="J22602">
        <v>0</v>
      </c>
      <c r="L22602">
        <v>0</v>
      </c>
      <c r="N22602">
        <v>0</v>
      </c>
      <c r="P22602">
        <v>0</v>
      </c>
      <c r="Q22602">
        <v>0</v>
      </c>
      <c r="S22602">
        <v>0</v>
      </c>
    </row>
    <row r="22603" spans="1:19" x14ac:dyDescent="0.3">
      <c r="A22603" t="str">
        <f t="shared" si="15"/>
        <v>UmbrellaTIP FFSep-24</v>
      </c>
      <c r="B22603" s="171" t="s">
        <v>45523</v>
      </c>
      <c r="C22603" s="171" t="s">
        <v>34871</v>
      </c>
      <c r="D22603" s="171" t="s">
        <v>80</v>
      </c>
      <c r="E22603" s="11">
        <v>45536</v>
      </c>
      <c r="F22603">
        <v>6</v>
      </c>
      <c r="G22603">
        <v>4</v>
      </c>
      <c r="I22603">
        <v>35</v>
      </c>
      <c r="J22603">
        <v>66</v>
      </c>
      <c r="L22603">
        <v>44</v>
      </c>
      <c r="N22603">
        <v>35</v>
      </c>
      <c r="P22603">
        <v>0</v>
      </c>
      <c r="Q22603">
        <v>2</v>
      </c>
      <c r="S22603">
        <v>0</v>
      </c>
    </row>
    <row r="22604" spans="1:19" x14ac:dyDescent="0.3">
      <c r="A22604" t="str">
        <f t="shared" si="15"/>
        <v>UniversalTIP FFSep-24</v>
      </c>
      <c r="B22604" s="171" t="s">
        <v>45524</v>
      </c>
      <c r="C22604" s="171" t="s">
        <v>230</v>
      </c>
      <c r="D22604" s="171" t="s">
        <v>80</v>
      </c>
      <c r="E22604" s="11">
        <v>45536</v>
      </c>
      <c r="F22604">
        <v>0</v>
      </c>
      <c r="G22604">
        <v>0</v>
      </c>
      <c r="I22604">
        <v>0</v>
      </c>
      <c r="J22604">
        <v>0</v>
      </c>
      <c r="L22604">
        <v>0</v>
      </c>
      <c r="N22604">
        <v>0</v>
      </c>
      <c r="P22604">
        <v>0</v>
      </c>
      <c r="Q22604">
        <v>0</v>
      </c>
      <c r="S22604">
        <v>0</v>
      </c>
    </row>
    <row r="22605" spans="1:19" x14ac:dyDescent="0.3">
      <c r="A22605" t="str">
        <f t="shared" si="15"/>
        <v>Wayne PlaceTIP FFSep-24</v>
      </c>
      <c r="B22605" s="171" t="s">
        <v>45525</v>
      </c>
      <c r="C22605" s="171" t="s">
        <v>8193</v>
      </c>
      <c r="D22605" s="171" t="s">
        <v>80</v>
      </c>
      <c r="E22605" s="11">
        <v>45536</v>
      </c>
      <c r="F22605">
        <v>2</v>
      </c>
      <c r="G22605">
        <v>3</v>
      </c>
      <c r="I22605">
        <v>18</v>
      </c>
      <c r="J22605">
        <v>22</v>
      </c>
      <c r="L22605">
        <v>33</v>
      </c>
      <c r="N22605">
        <v>18</v>
      </c>
      <c r="P22605">
        <v>0</v>
      </c>
      <c r="Q22605">
        <v>0</v>
      </c>
      <c r="S22605">
        <v>0</v>
      </c>
    </row>
    <row r="22606" spans="1:19" x14ac:dyDescent="0.3">
      <c r="A22606" t="str">
        <f t="shared" si="15"/>
        <v>Adoptions TogetherTST FFSep-24</v>
      </c>
      <c r="B22606" s="171" t="s">
        <v>45526</v>
      </c>
      <c r="C22606" s="171" t="s">
        <v>10522</v>
      </c>
      <c r="D22606" s="171" t="s">
        <v>80</v>
      </c>
      <c r="E22606" s="11">
        <v>45536</v>
      </c>
      <c r="F22606">
        <v>0</v>
      </c>
      <c r="G22606">
        <v>0</v>
      </c>
      <c r="I22606">
        <v>0</v>
      </c>
      <c r="J22606">
        <v>0</v>
      </c>
      <c r="L22606">
        <v>0</v>
      </c>
      <c r="N22606">
        <v>0</v>
      </c>
      <c r="P22606">
        <v>0</v>
      </c>
      <c r="Q22606">
        <v>0</v>
      </c>
      <c r="S22606">
        <v>0</v>
      </c>
    </row>
    <row r="22607" spans="1:19" x14ac:dyDescent="0.3">
      <c r="A22607" t="str">
        <f t="shared" si="15"/>
        <v>ContemporaryTST FFSep-24</v>
      </c>
      <c r="B22607" s="171" t="s">
        <v>45527</v>
      </c>
      <c r="C22607" s="171" t="s">
        <v>10525</v>
      </c>
      <c r="D22607" s="171" t="s">
        <v>80</v>
      </c>
      <c r="E22607" s="11">
        <v>45536</v>
      </c>
      <c r="F22607">
        <v>0</v>
      </c>
      <c r="G22607">
        <v>0</v>
      </c>
      <c r="I22607">
        <v>0</v>
      </c>
      <c r="J22607">
        <v>0</v>
      </c>
      <c r="L22607">
        <v>0</v>
      </c>
      <c r="N22607">
        <v>0</v>
      </c>
      <c r="P22607">
        <v>0</v>
      </c>
      <c r="Q22607">
        <v>0</v>
      </c>
      <c r="S22607">
        <v>0</v>
      </c>
    </row>
    <row r="22608" spans="1:19" x14ac:dyDescent="0.3">
      <c r="A22608" t="str">
        <f t="shared" ref="A22608:A22671" si="16">C22608&amp;" "&amp;D22608&amp;"Sep-24"</f>
        <v>Family MattersTST FFSep-24</v>
      </c>
      <c r="B22608" s="171" t="s">
        <v>45528</v>
      </c>
      <c r="C22608" s="171" t="s">
        <v>10528</v>
      </c>
      <c r="D22608" s="171" t="s">
        <v>80</v>
      </c>
      <c r="E22608" s="11">
        <v>45536</v>
      </c>
      <c r="F22608">
        <v>0</v>
      </c>
      <c r="G22608">
        <v>0</v>
      </c>
      <c r="I22608">
        <v>0</v>
      </c>
      <c r="J22608">
        <v>0</v>
      </c>
      <c r="L22608">
        <v>0</v>
      </c>
      <c r="N22608">
        <v>0</v>
      </c>
      <c r="P22608">
        <v>0</v>
      </c>
      <c r="Q22608">
        <v>0</v>
      </c>
      <c r="S22608">
        <v>0</v>
      </c>
    </row>
    <row r="22609" spans="1:19" x14ac:dyDescent="0.3">
      <c r="A22609" t="str">
        <f t="shared" si="16"/>
        <v>First Home CareTST FFSep-24</v>
      </c>
      <c r="B22609" s="171" t="s">
        <v>45529</v>
      </c>
      <c r="C22609" s="171" t="s">
        <v>10531</v>
      </c>
      <c r="D22609" s="171" t="s">
        <v>80</v>
      </c>
      <c r="E22609" s="11">
        <v>45536</v>
      </c>
      <c r="F22609">
        <v>0</v>
      </c>
      <c r="G22609">
        <v>0</v>
      </c>
      <c r="I22609">
        <v>0</v>
      </c>
      <c r="J22609">
        <v>0</v>
      </c>
      <c r="L22609">
        <v>0</v>
      </c>
      <c r="N22609">
        <v>0</v>
      </c>
      <c r="P22609">
        <v>0</v>
      </c>
      <c r="Q22609">
        <v>0</v>
      </c>
      <c r="S22609">
        <v>0</v>
      </c>
    </row>
    <row r="22610" spans="1:19" x14ac:dyDescent="0.3">
      <c r="A22610" t="str">
        <f t="shared" si="16"/>
        <v>Foundations for Home &amp; CommunityTST FFSep-24</v>
      </c>
      <c r="B22610" s="171" t="s">
        <v>45530</v>
      </c>
      <c r="C22610" s="171" t="s">
        <v>14880</v>
      </c>
      <c r="D22610" s="171" t="s">
        <v>80</v>
      </c>
      <c r="E22610" s="11">
        <v>45536</v>
      </c>
      <c r="F22610">
        <v>0</v>
      </c>
      <c r="G22610">
        <v>0</v>
      </c>
      <c r="I22610">
        <v>0</v>
      </c>
      <c r="J22610">
        <v>0</v>
      </c>
      <c r="L22610">
        <v>0</v>
      </c>
      <c r="N22610">
        <v>0</v>
      </c>
      <c r="P22610">
        <v>0</v>
      </c>
      <c r="Q22610">
        <v>0</v>
      </c>
      <c r="S22610">
        <v>0</v>
      </c>
    </row>
    <row r="22611" spans="1:19" x14ac:dyDescent="0.3">
      <c r="A22611" t="str">
        <f t="shared" si="16"/>
        <v>HillcrestTST FFSep-24</v>
      </c>
      <c r="B22611" s="171" t="s">
        <v>45531</v>
      </c>
      <c r="C22611" s="171" t="s">
        <v>10534</v>
      </c>
      <c r="D22611" s="171" t="s">
        <v>80</v>
      </c>
      <c r="E22611" s="11">
        <v>45536</v>
      </c>
      <c r="F22611">
        <v>1</v>
      </c>
      <c r="G22611">
        <v>3</v>
      </c>
      <c r="I22611">
        <v>6</v>
      </c>
      <c r="J22611">
        <v>5</v>
      </c>
      <c r="L22611">
        <v>17</v>
      </c>
      <c r="N22611">
        <v>5</v>
      </c>
      <c r="P22611">
        <v>0</v>
      </c>
      <c r="Q22611">
        <v>0</v>
      </c>
      <c r="S22611">
        <v>1</v>
      </c>
    </row>
    <row r="22612" spans="1:19" x14ac:dyDescent="0.3">
      <c r="A22612" t="str">
        <f t="shared" si="16"/>
        <v>MD Family ResourcesTST FFSep-24</v>
      </c>
      <c r="B22612" s="171" t="s">
        <v>45532</v>
      </c>
      <c r="C22612" s="171" t="s">
        <v>10537</v>
      </c>
      <c r="D22612" s="171" t="s">
        <v>80</v>
      </c>
      <c r="E22612" s="11">
        <v>45536</v>
      </c>
      <c r="F22612">
        <v>0</v>
      </c>
      <c r="G22612">
        <v>2</v>
      </c>
      <c r="I22612">
        <v>0</v>
      </c>
      <c r="J22612">
        <v>0</v>
      </c>
      <c r="L22612">
        <v>11</v>
      </c>
      <c r="N22612">
        <v>0</v>
      </c>
      <c r="P22612">
        <v>0</v>
      </c>
      <c r="Q22612">
        <v>0</v>
      </c>
      <c r="S22612">
        <v>0</v>
      </c>
    </row>
    <row r="22613" spans="1:19" x14ac:dyDescent="0.3">
      <c r="A22613" t="str">
        <f t="shared" si="16"/>
        <v>DBH Parent SupportABC CombinedSep-24</v>
      </c>
      <c r="B22613" s="171" t="s">
        <v>45533</v>
      </c>
      <c r="C22613" s="171" t="s">
        <v>34754</v>
      </c>
      <c r="D22613" s="171" t="s">
        <v>4</v>
      </c>
      <c r="E22613" s="11">
        <v>45536</v>
      </c>
      <c r="F22613">
        <v>0</v>
      </c>
      <c r="G22613">
        <v>0</v>
      </c>
      <c r="I22613">
        <v>0</v>
      </c>
      <c r="J22613">
        <v>0</v>
      </c>
      <c r="L22613">
        <v>0</v>
      </c>
      <c r="N22613">
        <v>0</v>
      </c>
      <c r="P22613">
        <v>0</v>
      </c>
      <c r="Q22613">
        <v>0</v>
      </c>
      <c r="S22613">
        <v>0</v>
      </c>
    </row>
    <row r="22614" spans="1:19" x14ac:dyDescent="0.3">
      <c r="A22614" t="str">
        <f t="shared" si="16"/>
        <v>Healthy FuturesABC CombinedSep-24</v>
      </c>
      <c r="B22614" s="171" t="s">
        <v>45534</v>
      </c>
      <c r="C22614" s="171" t="s">
        <v>34757</v>
      </c>
      <c r="D22614" s="171" t="s">
        <v>4</v>
      </c>
      <c r="E22614" s="11">
        <v>45536</v>
      </c>
      <c r="F22614">
        <v>0</v>
      </c>
      <c r="G22614">
        <v>0</v>
      </c>
      <c r="I22614">
        <v>0</v>
      </c>
      <c r="J22614">
        <v>0</v>
      </c>
      <c r="L22614">
        <v>0</v>
      </c>
      <c r="N22614">
        <v>0</v>
      </c>
      <c r="P22614">
        <v>0</v>
      </c>
      <c r="Q22614">
        <v>0</v>
      </c>
      <c r="S22614">
        <v>0</v>
      </c>
    </row>
    <row r="22615" spans="1:19" x14ac:dyDescent="0.3">
      <c r="A22615" t="str">
        <f t="shared" si="16"/>
        <v>Marys CenterABC CombinedSep-24</v>
      </c>
      <c r="B22615" s="171" t="s">
        <v>45535</v>
      </c>
      <c r="C22615" s="171" t="s">
        <v>34760</v>
      </c>
      <c r="D22615" s="171" t="s">
        <v>4</v>
      </c>
      <c r="E22615" s="11">
        <v>45536</v>
      </c>
      <c r="F22615">
        <v>0</v>
      </c>
      <c r="G22615">
        <v>0</v>
      </c>
      <c r="I22615">
        <v>0</v>
      </c>
      <c r="J22615">
        <v>0</v>
      </c>
      <c r="L22615">
        <v>0</v>
      </c>
      <c r="N22615">
        <v>0</v>
      </c>
      <c r="P22615">
        <v>0</v>
      </c>
      <c r="Q22615">
        <v>0</v>
      </c>
      <c r="S22615">
        <v>0</v>
      </c>
    </row>
    <row r="22616" spans="1:19" x14ac:dyDescent="0.3">
      <c r="A22616" t="str">
        <f t="shared" si="16"/>
        <v>Medstar GeorgetownABC CombinedSep-24</v>
      </c>
      <c r="B22616" s="171" t="s">
        <v>45536</v>
      </c>
      <c r="C22616" s="171" t="s">
        <v>34763</v>
      </c>
      <c r="D22616" s="171" t="s">
        <v>4</v>
      </c>
      <c r="E22616" s="11">
        <v>45536</v>
      </c>
      <c r="F22616">
        <v>0</v>
      </c>
      <c r="G22616">
        <v>0</v>
      </c>
      <c r="I22616">
        <v>0</v>
      </c>
      <c r="J22616">
        <v>0</v>
      </c>
      <c r="L22616">
        <v>0</v>
      </c>
      <c r="N22616">
        <v>0</v>
      </c>
      <c r="P22616">
        <v>0</v>
      </c>
      <c r="Q22616">
        <v>0</v>
      </c>
      <c r="S22616">
        <v>0</v>
      </c>
    </row>
    <row r="22617" spans="1:19" x14ac:dyDescent="0.3">
      <c r="A22617" t="str">
        <f t="shared" si="16"/>
        <v>PIECEABC CombinedSep-24</v>
      </c>
      <c r="B22617" s="171" t="s">
        <v>45537</v>
      </c>
      <c r="C22617" s="171" t="s">
        <v>34766</v>
      </c>
      <c r="D22617" s="171" t="s">
        <v>4</v>
      </c>
      <c r="E22617" s="11">
        <v>45536</v>
      </c>
      <c r="F22617">
        <v>0</v>
      </c>
      <c r="G22617">
        <v>0</v>
      </c>
      <c r="I22617">
        <v>0</v>
      </c>
      <c r="J22617">
        <v>0</v>
      </c>
      <c r="L22617">
        <v>0</v>
      </c>
      <c r="N22617">
        <v>0</v>
      </c>
      <c r="P22617">
        <v>0</v>
      </c>
      <c r="Q22617">
        <v>0</v>
      </c>
      <c r="S22617">
        <v>0</v>
      </c>
    </row>
    <row r="22618" spans="1:19" x14ac:dyDescent="0.3">
      <c r="A22618" t="str">
        <f t="shared" si="16"/>
        <v>Federal CityA-CRA CombinedSep-24</v>
      </c>
      <c r="B22618" s="171" t="s">
        <v>45538</v>
      </c>
      <c r="C22618" s="171" t="s">
        <v>119</v>
      </c>
      <c r="D22618" s="171" t="s">
        <v>4</v>
      </c>
      <c r="E22618" s="11">
        <v>45536</v>
      </c>
      <c r="F22618">
        <v>0</v>
      </c>
      <c r="G22618">
        <v>0</v>
      </c>
      <c r="I22618">
        <v>0</v>
      </c>
      <c r="J22618">
        <v>0</v>
      </c>
      <c r="L22618">
        <v>0</v>
      </c>
      <c r="N22618">
        <v>0</v>
      </c>
      <c r="P22618">
        <v>0</v>
      </c>
      <c r="Q22618">
        <v>0</v>
      </c>
      <c r="S22618">
        <v>0</v>
      </c>
    </row>
    <row r="22619" spans="1:19" x14ac:dyDescent="0.3">
      <c r="A22619" t="str">
        <f t="shared" si="16"/>
        <v>HillcrestA-CRA CombinedSep-24</v>
      </c>
      <c r="B22619" s="171" t="s">
        <v>45539</v>
      </c>
      <c r="C22619" s="171" t="s">
        <v>143</v>
      </c>
      <c r="D22619" s="171" t="s">
        <v>4</v>
      </c>
      <c r="E22619" s="11">
        <v>45536</v>
      </c>
      <c r="F22619">
        <v>0</v>
      </c>
      <c r="G22619">
        <v>0</v>
      </c>
      <c r="I22619">
        <v>0</v>
      </c>
      <c r="J22619">
        <v>0</v>
      </c>
      <c r="L22619">
        <v>0</v>
      </c>
      <c r="N22619">
        <v>0</v>
      </c>
      <c r="P22619">
        <v>0</v>
      </c>
      <c r="Q22619">
        <v>0</v>
      </c>
      <c r="S22619">
        <v>0</v>
      </c>
    </row>
    <row r="22620" spans="1:19" x14ac:dyDescent="0.3">
      <c r="A22620" t="str">
        <f t="shared" si="16"/>
        <v>LAYCA-CRA CombinedSep-24</v>
      </c>
      <c r="B22620" s="171" t="s">
        <v>45540</v>
      </c>
      <c r="C22620" s="171" t="s">
        <v>158</v>
      </c>
      <c r="D22620" s="171" t="s">
        <v>4</v>
      </c>
      <c r="E22620" s="11">
        <v>45536</v>
      </c>
      <c r="F22620">
        <v>0</v>
      </c>
      <c r="G22620">
        <v>0</v>
      </c>
      <c r="I22620">
        <v>0</v>
      </c>
      <c r="J22620">
        <v>0</v>
      </c>
      <c r="L22620">
        <v>0</v>
      </c>
      <c r="N22620">
        <v>0</v>
      </c>
      <c r="P22620">
        <v>0</v>
      </c>
      <c r="Q22620">
        <v>0</v>
      </c>
      <c r="S22620">
        <v>0</v>
      </c>
    </row>
    <row r="22621" spans="1:19" x14ac:dyDescent="0.3">
      <c r="A22621" t="str">
        <f t="shared" si="16"/>
        <v>RiversideA-CRA CombinedSep-24</v>
      </c>
      <c r="B22621" s="171" t="s">
        <v>45541</v>
      </c>
      <c r="C22621" s="171" t="s">
        <v>209</v>
      </c>
      <c r="D22621" s="171" t="s">
        <v>4</v>
      </c>
      <c r="E22621" s="11">
        <v>45536</v>
      </c>
      <c r="F22621">
        <v>0</v>
      </c>
      <c r="G22621">
        <v>0</v>
      </c>
      <c r="I22621">
        <v>0</v>
      </c>
      <c r="J22621">
        <v>0</v>
      </c>
      <c r="L22621">
        <v>0</v>
      </c>
      <c r="N22621">
        <v>0</v>
      </c>
      <c r="P22621">
        <v>0</v>
      </c>
      <c r="Q22621">
        <v>0</v>
      </c>
      <c r="S22621">
        <v>0</v>
      </c>
    </row>
    <row r="22622" spans="1:19" x14ac:dyDescent="0.3">
      <c r="A22622" t="str">
        <f t="shared" si="16"/>
        <v>Adoptions TogetherCPP-FV CombinedSep-24</v>
      </c>
      <c r="B22622" s="171" t="s">
        <v>45542</v>
      </c>
      <c r="C22622" s="171" t="s">
        <v>76</v>
      </c>
      <c r="D22622" s="171" t="s">
        <v>4</v>
      </c>
      <c r="E22622" s="11">
        <v>45536</v>
      </c>
      <c r="F22622">
        <v>0</v>
      </c>
      <c r="G22622">
        <v>0</v>
      </c>
      <c r="I22622">
        <v>0</v>
      </c>
      <c r="J22622">
        <v>0</v>
      </c>
      <c r="L22622">
        <v>0</v>
      </c>
      <c r="N22622">
        <v>0</v>
      </c>
      <c r="P22622">
        <v>0</v>
      </c>
      <c r="Q22622">
        <v>0</v>
      </c>
      <c r="S22622">
        <v>0</v>
      </c>
    </row>
    <row r="22623" spans="1:19" x14ac:dyDescent="0.3">
      <c r="A22623" t="str">
        <f t="shared" si="16"/>
        <v>Foundations for Home &amp; CommunityCPP-FV CombinedSep-24</v>
      </c>
      <c r="B22623" s="171" t="s">
        <v>45543</v>
      </c>
      <c r="C22623" s="171" t="s">
        <v>15344</v>
      </c>
      <c r="D22623" s="171" t="s">
        <v>4</v>
      </c>
      <c r="E22623" s="11">
        <v>45536</v>
      </c>
      <c r="F22623">
        <v>0</v>
      </c>
      <c r="G22623">
        <v>0</v>
      </c>
      <c r="I22623">
        <v>0</v>
      </c>
      <c r="J22623">
        <v>0</v>
      </c>
      <c r="L22623">
        <v>0</v>
      </c>
      <c r="N22623">
        <v>0</v>
      </c>
      <c r="P22623">
        <v>0</v>
      </c>
      <c r="Q22623">
        <v>0</v>
      </c>
      <c r="S22623">
        <v>0</v>
      </c>
    </row>
    <row r="22624" spans="1:19" x14ac:dyDescent="0.3">
      <c r="A22624" t="str">
        <f t="shared" si="16"/>
        <v>Medstar GeorgetownCPP-FV CombinedSep-24</v>
      </c>
      <c r="B22624" s="171" t="s">
        <v>45544</v>
      </c>
      <c r="C22624" s="171" t="s">
        <v>24281</v>
      </c>
      <c r="D22624" s="171" t="s">
        <v>4</v>
      </c>
      <c r="E22624" s="11">
        <v>45536</v>
      </c>
      <c r="F22624">
        <v>0</v>
      </c>
      <c r="G22624">
        <v>0</v>
      </c>
      <c r="I22624">
        <v>0</v>
      </c>
      <c r="J22624">
        <v>0</v>
      </c>
      <c r="L22624">
        <v>0</v>
      </c>
      <c r="N22624">
        <v>0</v>
      </c>
      <c r="P22624">
        <v>0</v>
      </c>
      <c r="Q22624">
        <v>0</v>
      </c>
      <c r="S22624">
        <v>0</v>
      </c>
    </row>
    <row r="22625" spans="1:19" x14ac:dyDescent="0.3">
      <c r="A22625" t="str">
        <f t="shared" si="16"/>
        <v>Better MorningsFFT CombinedSep-24</v>
      </c>
      <c r="B22625" s="171" t="s">
        <v>45545</v>
      </c>
      <c r="C22625" s="171" t="s">
        <v>24284</v>
      </c>
      <c r="D22625" s="171" t="s">
        <v>4</v>
      </c>
      <c r="E22625" s="11">
        <v>45536</v>
      </c>
      <c r="F22625">
        <v>3</v>
      </c>
      <c r="G22625">
        <v>3</v>
      </c>
      <c r="I22625">
        <v>8</v>
      </c>
      <c r="J22625">
        <v>18</v>
      </c>
      <c r="L22625">
        <v>17</v>
      </c>
      <c r="N22625">
        <v>8</v>
      </c>
      <c r="P22625">
        <v>0</v>
      </c>
      <c r="Q22625">
        <v>0</v>
      </c>
      <c r="S22625">
        <v>0</v>
      </c>
    </row>
    <row r="22626" spans="1:19" x14ac:dyDescent="0.3">
      <c r="A22626" t="str">
        <f t="shared" si="16"/>
        <v>CatholicFFT CombinedSep-24</v>
      </c>
      <c r="B22626" s="171" t="s">
        <v>45546</v>
      </c>
      <c r="C22626" s="171" t="s">
        <v>18126</v>
      </c>
      <c r="D22626" s="171" t="s">
        <v>4</v>
      </c>
      <c r="E22626" s="11">
        <v>45536</v>
      </c>
      <c r="F22626">
        <v>0</v>
      </c>
      <c r="G22626">
        <v>0</v>
      </c>
      <c r="I22626">
        <v>0</v>
      </c>
      <c r="J22626">
        <v>0</v>
      </c>
      <c r="L22626">
        <v>0</v>
      </c>
      <c r="N22626">
        <v>0</v>
      </c>
      <c r="P22626">
        <v>0</v>
      </c>
      <c r="Q22626">
        <v>0</v>
      </c>
      <c r="S22626">
        <v>0</v>
      </c>
    </row>
    <row r="22627" spans="1:19" x14ac:dyDescent="0.3">
      <c r="A22627" t="str">
        <f t="shared" si="16"/>
        <v>First Home CareFFT CombinedSep-24</v>
      </c>
      <c r="B22627" s="171" t="s">
        <v>45547</v>
      </c>
      <c r="C22627" s="171" t="s">
        <v>128</v>
      </c>
      <c r="D22627" s="171" t="s">
        <v>4</v>
      </c>
      <c r="E22627" s="11">
        <v>45536</v>
      </c>
      <c r="F22627">
        <v>0</v>
      </c>
      <c r="G22627">
        <v>0</v>
      </c>
      <c r="I22627">
        <v>0</v>
      </c>
      <c r="J22627">
        <v>0</v>
      </c>
      <c r="L22627">
        <v>0</v>
      </c>
      <c r="N22627">
        <v>0</v>
      </c>
      <c r="P22627">
        <v>0</v>
      </c>
      <c r="Q22627">
        <v>0</v>
      </c>
      <c r="S22627">
        <v>0</v>
      </c>
    </row>
    <row r="22628" spans="1:19" x14ac:dyDescent="0.3">
      <c r="A22628" t="str">
        <f t="shared" si="16"/>
        <v>Foundations for Home &amp; CommunityFFT CombinedSep-24</v>
      </c>
      <c r="B22628" s="171" t="s">
        <v>45548</v>
      </c>
      <c r="C22628" s="171" t="s">
        <v>14824</v>
      </c>
      <c r="D22628" s="171" t="s">
        <v>4</v>
      </c>
      <c r="E22628" s="11">
        <v>45536</v>
      </c>
      <c r="F22628">
        <v>0</v>
      </c>
      <c r="G22628">
        <v>0</v>
      </c>
      <c r="I22628">
        <v>0</v>
      </c>
      <c r="J22628">
        <v>0</v>
      </c>
      <c r="L22628">
        <v>0</v>
      </c>
      <c r="N22628">
        <v>0</v>
      </c>
      <c r="P22628">
        <v>0</v>
      </c>
      <c r="Q22628">
        <v>0</v>
      </c>
      <c r="S22628">
        <v>0</v>
      </c>
    </row>
    <row r="22629" spans="1:19" x14ac:dyDescent="0.3">
      <c r="A22629" t="str">
        <f t="shared" si="16"/>
        <v>HillcrestFFT CombinedSep-24</v>
      </c>
      <c r="B22629" s="171" t="s">
        <v>45549</v>
      </c>
      <c r="C22629" s="171" t="s">
        <v>152</v>
      </c>
      <c r="D22629" s="171" t="s">
        <v>4</v>
      </c>
      <c r="E22629" s="11">
        <v>45536</v>
      </c>
      <c r="F22629">
        <v>0</v>
      </c>
      <c r="G22629">
        <v>0</v>
      </c>
      <c r="I22629">
        <v>0</v>
      </c>
      <c r="J22629">
        <v>0</v>
      </c>
      <c r="L22629">
        <v>0</v>
      </c>
      <c r="N22629">
        <v>0</v>
      </c>
      <c r="P22629">
        <v>0</v>
      </c>
      <c r="Q22629">
        <v>0</v>
      </c>
      <c r="S22629">
        <v>0</v>
      </c>
    </row>
    <row r="22630" spans="1:19" x14ac:dyDescent="0.3">
      <c r="A22630" t="str">
        <f t="shared" si="16"/>
        <v>PASSFFT CombinedSep-24</v>
      </c>
      <c r="B22630" s="171" t="s">
        <v>45550</v>
      </c>
      <c r="C22630" s="171" t="s">
        <v>194</v>
      </c>
      <c r="D22630" s="171" t="s">
        <v>4</v>
      </c>
      <c r="E22630" s="11">
        <v>45536</v>
      </c>
      <c r="F22630">
        <v>2</v>
      </c>
      <c r="G22630">
        <v>5</v>
      </c>
      <c r="I22630">
        <v>9</v>
      </c>
      <c r="J22630">
        <v>12</v>
      </c>
      <c r="L22630">
        <v>27</v>
      </c>
      <c r="N22630">
        <v>7</v>
      </c>
      <c r="P22630">
        <v>4</v>
      </c>
      <c r="Q22630">
        <v>5</v>
      </c>
      <c r="S22630">
        <v>2</v>
      </c>
    </row>
    <row r="22631" spans="1:19" x14ac:dyDescent="0.3">
      <c r="A22631" t="str">
        <f t="shared" si="16"/>
        <v>Better MorningsIHCBS CombinedSep-24</v>
      </c>
      <c r="B22631" s="171" t="s">
        <v>45551</v>
      </c>
      <c r="C22631" s="171" t="s">
        <v>39930</v>
      </c>
      <c r="D22631" s="171" t="s">
        <v>4</v>
      </c>
      <c r="E22631" s="11">
        <v>45536</v>
      </c>
      <c r="F22631">
        <v>4</v>
      </c>
      <c r="G22631">
        <v>7</v>
      </c>
      <c r="I22631">
        <v>13</v>
      </c>
      <c r="J22631">
        <v>16</v>
      </c>
      <c r="L22631">
        <v>28</v>
      </c>
      <c r="N22631">
        <v>7</v>
      </c>
      <c r="P22631">
        <v>5</v>
      </c>
      <c r="Q22631">
        <v>7</v>
      </c>
      <c r="S22631">
        <v>6</v>
      </c>
    </row>
    <row r="22632" spans="1:19" x14ac:dyDescent="0.3">
      <c r="A22632" t="str">
        <f t="shared" si="16"/>
        <v>HillcrestIHCBS CombinedSep-24</v>
      </c>
      <c r="B22632" s="171" t="s">
        <v>45552</v>
      </c>
      <c r="C22632" s="171" t="s">
        <v>39933</v>
      </c>
      <c r="D22632" s="171" t="s">
        <v>4</v>
      </c>
      <c r="E22632" s="11">
        <v>45536</v>
      </c>
      <c r="F22632">
        <v>2</v>
      </c>
      <c r="G22632">
        <v>1</v>
      </c>
      <c r="I22632">
        <v>17</v>
      </c>
      <c r="J22632">
        <v>8</v>
      </c>
      <c r="L22632">
        <v>4</v>
      </c>
      <c r="N22632">
        <v>16</v>
      </c>
      <c r="P22632">
        <v>1</v>
      </c>
      <c r="Q22632">
        <v>1</v>
      </c>
      <c r="S22632">
        <v>1</v>
      </c>
    </row>
    <row r="22633" spans="1:19" x14ac:dyDescent="0.3">
      <c r="A22633" t="str">
        <f t="shared" si="16"/>
        <v>LESIHCBS CombinedSep-24</v>
      </c>
      <c r="B22633" s="171" t="s">
        <v>45553</v>
      </c>
      <c r="C22633" s="171" t="s">
        <v>39936</v>
      </c>
      <c r="D22633" s="171" t="s">
        <v>4</v>
      </c>
      <c r="E22633" s="11">
        <v>45536</v>
      </c>
      <c r="F22633">
        <v>0</v>
      </c>
      <c r="G22633">
        <v>1</v>
      </c>
      <c r="I22633">
        <v>0</v>
      </c>
      <c r="J22633">
        <v>0</v>
      </c>
      <c r="L22633">
        <v>4</v>
      </c>
      <c r="N22633">
        <v>0</v>
      </c>
      <c r="P22633">
        <v>0</v>
      </c>
      <c r="Q22633">
        <v>0</v>
      </c>
      <c r="S22633">
        <v>0</v>
      </c>
    </row>
    <row r="22634" spans="1:19" x14ac:dyDescent="0.3">
      <c r="A22634" t="str">
        <f t="shared" si="16"/>
        <v>MBI HSIHCBS CombinedSep-24</v>
      </c>
      <c r="B22634" s="171" t="s">
        <v>45554</v>
      </c>
      <c r="C22634" s="171" t="s">
        <v>39939</v>
      </c>
      <c r="D22634" s="171" t="s">
        <v>4</v>
      </c>
      <c r="E22634" s="11">
        <v>45536</v>
      </c>
      <c r="F22634">
        <v>2</v>
      </c>
      <c r="G22634">
        <v>1</v>
      </c>
      <c r="I22634">
        <v>6</v>
      </c>
      <c r="J22634">
        <v>8</v>
      </c>
      <c r="L22634">
        <v>4</v>
      </c>
      <c r="N22634">
        <v>5</v>
      </c>
      <c r="P22634">
        <v>1</v>
      </c>
      <c r="Q22634">
        <v>1</v>
      </c>
      <c r="S22634">
        <v>1</v>
      </c>
    </row>
    <row r="22635" spans="1:19" x14ac:dyDescent="0.3">
      <c r="A22635" t="str">
        <f t="shared" si="16"/>
        <v>MD Family ResourcesIHCBS CombinedSep-24</v>
      </c>
      <c r="B22635" s="171" t="s">
        <v>45555</v>
      </c>
      <c r="C22635" s="171" t="s">
        <v>39942</v>
      </c>
      <c r="D22635" s="171" t="s">
        <v>4</v>
      </c>
      <c r="E22635" s="11">
        <v>45536</v>
      </c>
      <c r="F22635">
        <v>0</v>
      </c>
      <c r="G22635">
        <v>3</v>
      </c>
      <c r="I22635">
        <v>1</v>
      </c>
      <c r="J22635">
        <v>0</v>
      </c>
      <c r="L22635">
        <v>12</v>
      </c>
      <c r="N22635">
        <v>1</v>
      </c>
      <c r="P22635">
        <v>0</v>
      </c>
      <c r="Q22635">
        <v>0</v>
      </c>
      <c r="S22635">
        <v>0</v>
      </c>
    </row>
    <row r="22636" spans="1:19" x14ac:dyDescent="0.3">
      <c r="A22636" t="str">
        <f t="shared" si="16"/>
        <v>LCSMST CombinedSep-24</v>
      </c>
      <c r="B22636" s="171" t="s">
        <v>45556</v>
      </c>
      <c r="C22636" s="171" t="s">
        <v>18137</v>
      </c>
      <c r="D22636" s="171" t="s">
        <v>4</v>
      </c>
      <c r="E22636" s="11">
        <v>45536</v>
      </c>
      <c r="F22636">
        <v>0</v>
      </c>
      <c r="G22636">
        <v>0</v>
      </c>
      <c r="I22636">
        <v>0</v>
      </c>
      <c r="J22636">
        <v>0</v>
      </c>
      <c r="L22636">
        <v>0</v>
      </c>
      <c r="N22636">
        <v>0</v>
      </c>
      <c r="P22636">
        <v>0</v>
      </c>
      <c r="Q22636">
        <v>0</v>
      </c>
      <c r="S22636">
        <v>0</v>
      </c>
    </row>
    <row r="22637" spans="1:19" x14ac:dyDescent="0.3">
      <c r="A22637" t="str">
        <f t="shared" si="16"/>
        <v>MBI HSMST CombinedSep-24</v>
      </c>
      <c r="B22637" s="171" t="s">
        <v>45557</v>
      </c>
      <c r="C22637" s="171" t="s">
        <v>18140</v>
      </c>
      <c r="D22637" s="171" t="s">
        <v>4</v>
      </c>
      <c r="E22637" s="11">
        <v>45536</v>
      </c>
      <c r="F22637">
        <v>2</v>
      </c>
      <c r="G22637">
        <v>4</v>
      </c>
      <c r="I22637">
        <v>10</v>
      </c>
      <c r="J22637">
        <v>10</v>
      </c>
      <c r="L22637">
        <v>20</v>
      </c>
      <c r="N22637">
        <v>9</v>
      </c>
      <c r="P22637">
        <v>1</v>
      </c>
      <c r="Q22637">
        <v>1</v>
      </c>
      <c r="S22637">
        <v>1</v>
      </c>
    </row>
    <row r="22638" spans="1:19" x14ac:dyDescent="0.3">
      <c r="A22638" t="str">
        <f t="shared" si="16"/>
        <v>Youth VillagesMST CombinedSep-24</v>
      </c>
      <c r="B22638" s="171" t="s">
        <v>45558</v>
      </c>
      <c r="C22638" s="171" t="s">
        <v>236</v>
      </c>
      <c r="D22638" s="171" t="s">
        <v>4</v>
      </c>
      <c r="E22638" s="11">
        <v>45536</v>
      </c>
      <c r="F22638">
        <v>0</v>
      </c>
      <c r="G22638">
        <v>0</v>
      </c>
      <c r="I22638">
        <v>0</v>
      </c>
      <c r="J22638">
        <v>0</v>
      </c>
      <c r="L22638">
        <v>0</v>
      </c>
      <c r="N22638">
        <v>0</v>
      </c>
      <c r="P22638">
        <v>0</v>
      </c>
      <c r="Q22638">
        <v>0</v>
      </c>
      <c r="S22638">
        <v>0</v>
      </c>
    </row>
    <row r="22639" spans="1:19" x14ac:dyDescent="0.3">
      <c r="A22639" t="str">
        <f t="shared" si="16"/>
        <v>Youth VillagesMST-PSB CombinedSep-24</v>
      </c>
      <c r="B22639" s="171" t="s">
        <v>45559</v>
      </c>
      <c r="C22639" s="171" t="s">
        <v>239</v>
      </c>
      <c r="D22639" s="171" t="s">
        <v>4</v>
      </c>
      <c r="E22639" s="11">
        <v>45536</v>
      </c>
      <c r="F22639">
        <v>0</v>
      </c>
      <c r="G22639">
        <v>0</v>
      </c>
      <c r="I22639">
        <v>0</v>
      </c>
      <c r="J22639">
        <v>0</v>
      </c>
      <c r="L22639">
        <v>0</v>
      </c>
      <c r="N22639">
        <v>0</v>
      </c>
      <c r="P22639">
        <v>0</v>
      </c>
      <c r="Q22639">
        <v>0</v>
      </c>
      <c r="S22639">
        <v>0</v>
      </c>
    </row>
    <row r="22640" spans="1:19" x14ac:dyDescent="0.3">
      <c r="A22640" t="str">
        <f t="shared" si="16"/>
        <v>Medstar GeorgetownPCIT CombinedSep-24</v>
      </c>
      <c r="B22640" s="171" t="s">
        <v>45560</v>
      </c>
      <c r="C22640" s="171" t="s">
        <v>24315</v>
      </c>
      <c r="D22640" s="171" t="s">
        <v>4</v>
      </c>
      <c r="E22640" s="11">
        <v>45536</v>
      </c>
      <c r="F22640">
        <v>0</v>
      </c>
      <c r="G22640">
        <v>0</v>
      </c>
      <c r="I22640">
        <v>0</v>
      </c>
      <c r="J22640">
        <v>0</v>
      </c>
      <c r="L22640">
        <v>0</v>
      </c>
      <c r="N22640">
        <v>0</v>
      </c>
      <c r="P22640">
        <v>0</v>
      </c>
      <c r="Q22640">
        <v>0</v>
      </c>
      <c r="S22640">
        <v>0</v>
      </c>
    </row>
    <row r="22641" spans="1:19" x14ac:dyDescent="0.3">
      <c r="A22641" t="str">
        <f t="shared" si="16"/>
        <v>Marys CenterPCIT-T CombinedSep-24</v>
      </c>
      <c r="B22641" s="171" t="s">
        <v>45561</v>
      </c>
      <c r="C22641" s="171" t="s">
        <v>34833</v>
      </c>
      <c r="D22641" s="171" t="s">
        <v>4</v>
      </c>
      <c r="E22641" s="11">
        <v>45536</v>
      </c>
      <c r="F22641">
        <v>1.5</v>
      </c>
      <c r="G22641">
        <v>2</v>
      </c>
      <c r="I22641">
        <v>1</v>
      </c>
      <c r="J22641">
        <v>9</v>
      </c>
      <c r="L22641">
        <v>11</v>
      </c>
      <c r="N22641">
        <v>1</v>
      </c>
      <c r="P22641">
        <v>0</v>
      </c>
      <c r="Q22641">
        <v>0</v>
      </c>
      <c r="S22641">
        <v>0</v>
      </c>
    </row>
    <row r="22642" spans="1:19" x14ac:dyDescent="0.3">
      <c r="A22642" t="str">
        <f t="shared" si="16"/>
        <v>PIECEPCIT-T CombinedSep-24</v>
      </c>
      <c r="B22642" s="171" t="s">
        <v>45562</v>
      </c>
      <c r="C22642" s="171" t="s">
        <v>34836</v>
      </c>
      <c r="D22642" s="171" t="s">
        <v>4</v>
      </c>
      <c r="E22642" s="11">
        <v>45536</v>
      </c>
      <c r="F22642">
        <v>1.5</v>
      </c>
      <c r="G22642">
        <v>1.5</v>
      </c>
      <c r="I22642">
        <v>2</v>
      </c>
      <c r="J22642">
        <v>7</v>
      </c>
      <c r="L22642">
        <v>7</v>
      </c>
      <c r="N22642">
        <v>1</v>
      </c>
      <c r="P22642">
        <v>0</v>
      </c>
      <c r="Q22642">
        <v>0</v>
      </c>
      <c r="S22642">
        <v>1</v>
      </c>
    </row>
    <row r="22643" spans="1:19" x14ac:dyDescent="0.3">
      <c r="A22643" t="str">
        <f t="shared" si="16"/>
        <v>Community ConnectionsTF-CBT CombinedSep-24</v>
      </c>
      <c r="B22643" s="171" t="s">
        <v>45563</v>
      </c>
      <c r="C22643" s="171" t="s">
        <v>113</v>
      </c>
      <c r="D22643" s="171" t="s">
        <v>4</v>
      </c>
      <c r="E22643" s="11">
        <v>45536</v>
      </c>
      <c r="F22643">
        <v>0</v>
      </c>
      <c r="G22643">
        <v>0</v>
      </c>
      <c r="I22643">
        <v>0</v>
      </c>
      <c r="J22643">
        <v>0</v>
      </c>
      <c r="L22643">
        <v>0</v>
      </c>
      <c r="N22643">
        <v>0</v>
      </c>
      <c r="P22643">
        <v>0</v>
      </c>
      <c r="Q22643">
        <v>0</v>
      </c>
      <c r="S22643">
        <v>0</v>
      </c>
    </row>
    <row r="22644" spans="1:19" x14ac:dyDescent="0.3">
      <c r="A22644" t="str">
        <f t="shared" si="16"/>
        <v>First Home CareTF-CBT CombinedSep-24</v>
      </c>
      <c r="B22644" s="171" t="s">
        <v>45564</v>
      </c>
      <c r="C22644" s="171" t="s">
        <v>131</v>
      </c>
      <c r="D22644" s="171" t="s">
        <v>4</v>
      </c>
      <c r="E22644" s="11">
        <v>45536</v>
      </c>
      <c r="F22644">
        <v>0</v>
      </c>
      <c r="G22644">
        <v>0</v>
      </c>
      <c r="I22644">
        <v>0</v>
      </c>
      <c r="J22644">
        <v>0</v>
      </c>
      <c r="L22644">
        <v>0</v>
      </c>
      <c r="N22644">
        <v>0</v>
      </c>
      <c r="P22644">
        <v>0</v>
      </c>
      <c r="Q22644">
        <v>0</v>
      </c>
      <c r="S22644">
        <v>0</v>
      </c>
    </row>
    <row r="22645" spans="1:19" x14ac:dyDescent="0.3">
      <c r="A22645" t="str">
        <f t="shared" si="16"/>
        <v>Foundations for Home &amp; CommunityTF-CBT CombinedSep-24</v>
      </c>
      <c r="B22645" s="171" t="s">
        <v>45565</v>
      </c>
      <c r="C22645" s="171" t="s">
        <v>14843</v>
      </c>
      <c r="D22645" s="171" t="s">
        <v>4</v>
      </c>
      <c r="E22645" s="11">
        <v>45536</v>
      </c>
      <c r="F22645">
        <v>0</v>
      </c>
      <c r="G22645">
        <v>0</v>
      </c>
      <c r="I22645">
        <v>0</v>
      </c>
      <c r="J22645">
        <v>0</v>
      </c>
      <c r="L22645">
        <v>0</v>
      </c>
      <c r="N22645">
        <v>0</v>
      </c>
      <c r="P22645">
        <v>0</v>
      </c>
      <c r="Q22645">
        <v>0</v>
      </c>
      <c r="S22645">
        <v>0</v>
      </c>
    </row>
    <row r="22646" spans="1:19" x14ac:dyDescent="0.3">
      <c r="A22646" t="str">
        <f t="shared" si="16"/>
        <v>HillcrestTF-CBT CombinedSep-24</v>
      </c>
      <c r="B22646" s="171" t="s">
        <v>45566</v>
      </c>
      <c r="C22646" s="171" t="s">
        <v>155</v>
      </c>
      <c r="D22646" s="171" t="s">
        <v>4</v>
      </c>
      <c r="E22646" s="11">
        <v>45536</v>
      </c>
      <c r="F22646">
        <v>3.5</v>
      </c>
      <c r="G22646">
        <v>7</v>
      </c>
      <c r="I22646">
        <v>6</v>
      </c>
      <c r="J22646">
        <v>20</v>
      </c>
      <c r="L22646">
        <v>37</v>
      </c>
      <c r="N22646">
        <v>6</v>
      </c>
      <c r="P22646">
        <v>0</v>
      </c>
      <c r="Q22646">
        <v>1</v>
      </c>
      <c r="S22646">
        <v>0</v>
      </c>
    </row>
    <row r="22647" spans="1:19" x14ac:dyDescent="0.3">
      <c r="A22647" t="str">
        <f t="shared" si="16"/>
        <v>LAYCTF-CBT CombinedSep-24</v>
      </c>
      <c r="B22647" s="171" t="s">
        <v>45567</v>
      </c>
      <c r="C22647" s="171" t="s">
        <v>16232</v>
      </c>
      <c r="D22647" s="171" t="s">
        <v>4</v>
      </c>
      <c r="E22647" s="11">
        <v>45536</v>
      </c>
      <c r="F22647">
        <v>2</v>
      </c>
      <c r="G22647">
        <v>4</v>
      </c>
      <c r="I22647">
        <v>3</v>
      </c>
      <c r="J22647">
        <v>12</v>
      </c>
      <c r="L22647">
        <v>24</v>
      </c>
      <c r="N22647">
        <v>2</v>
      </c>
      <c r="P22647">
        <v>2</v>
      </c>
      <c r="Q22647">
        <v>3</v>
      </c>
      <c r="S22647">
        <v>1</v>
      </c>
    </row>
    <row r="22648" spans="1:19" x14ac:dyDescent="0.3">
      <c r="A22648" t="str">
        <f t="shared" si="16"/>
        <v>LESTF-CBT CombinedSep-24</v>
      </c>
      <c r="B22648" s="171" t="s">
        <v>45568</v>
      </c>
      <c r="C22648" s="171" t="s">
        <v>16557</v>
      </c>
      <c r="D22648" s="171" t="s">
        <v>4</v>
      </c>
      <c r="E22648" s="11">
        <v>45536</v>
      </c>
      <c r="F22648">
        <v>0</v>
      </c>
      <c r="G22648">
        <v>0</v>
      </c>
      <c r="I22648">
        <v>0</v>
      </c>
      <c r="J22648">
        <v>0</v>
      </c>
      <c r="L22648">
        <v>0</v>
      </c>
      <c r="N22648">
        <v>0</v>
      </c>
      <c r="P22648">
        <v>0</v>
      </c>
      <c r="Q22648">
        <v>0</v>
      </c>
      <c r="S22648">
        <v>0</v>
      </c>
    </row>
    <row r="22649" spans="1:19" x14ac:dyDescent="0.3">
      <c r="A22649" t="str">
        <f t="shared" si="16"/>
        <v>MD Family ResourcesTF-CBT CombinedSep-24</v>
      </c>
      <c r="B22649" s="171" t="s">
        <v>45569</v>
      </c>
      <c r="C22649" s="171" t="s">
        <v>188</v>
      </c>
      <c r="D22649" s="171" t="s">
        <v>4</v>
      </c>
      <c r="E22649" s="11">
        <v>45536</v>
      </c>
      <c r="F22649">
        <v>1.5</v>
      </c>
      <c r="G22649">
        <v>3</v>
      </c>
      <c r="I22649">
        <v>4</v>
      </c>
      <c r="J22649">
        <v>8</v>
      </c>
      <c r="L22649">
        <v>17</v>
      </c>
      <c r="N22649">
        <v>4</v>
      </c>
      <c r="P22649">
        <v>0</v>
      </c>
      <c r="Q22649">
        <v>0</v>
      </c>
      <c r="S22649">
        <v>0</v>
      </c>
    </row>
    <row r="22650" spans="1:19" x14ac:dyDescent="0.3">
      <c r="A22650" t="str">
        <f t="shared" si="16"/>
        <v>UniversalTF-CBT CombinedSep-24</v>
      </c>
      <c r="B22650" s="171" t="s">
        <v>45570</v>
      </c>
      <c r="C22650" s="171" t="s">
        <v>227</v>
      </c>
      <c r="D22650" s="171" t="s">
        <v>4</v>
      </c>
      <c r="E22650" s="11">
        <v>45536</v>
      </c>
      <c r="F22650">
        <v>0</v>
      </c>
      <c r="G22650">
        <v>0</v>
      </c>
      <c r="I22650">
        <v>0</v>
      </c>
      <c r="J22650">
        <v>0</v>
      </c>
      <c r="L22650">
        <v>0</v>
      </c>
      <c r="N22650">
        <v>0</v>
      </c>
      <c r="P22650">
        <v>0</v>
      </c>
      <c r="Q22650">
        <v>0</v>
      </c>
      <c r="S22650">
        <v>0</v>
      </c>
    </row>
    <row r="22651" spans="1:19" x14ac:dyDescent="0.3">
      <c r="A22651" t="str">
        <f t="shared" si="16"/>
        <v>Community ConnectionsTIP CombinedSep-24</v>
      </c>
      <c r="B22651" s="171" t="s">
        <v>45571</v>
      </c>
      <c r="C22651" s="171" t="s">
        <v>116</v>
      </c>
      <c r="D22651" s="171" t="s">
        <v>4</v>
      </c>
      <c r="E22651" s="11">
        <v>45536</v>
      </c>
      <c r="F22651">
        <v>0</v>
      </c>
      <c r="G22651">
        <v>0</v>
      </c>
      <c r="I22651">
        <v>0</v>
      </c>
      <c r="J22651">
        <v>0</v>
      </c>
      <c r="L22651">
        <v>0</v>
      </c>
      <c r="N22651">
        <v>0</v>
      </c>
      <c r="P22651">
        <v>0</v>
      </c>
      <c r="Q22651">
        <v>0</v>
      </c>
      <c r="S22651">
        <v>0</v>
      </c>
    </row>
    <row r="22652" spans="1:19" x14ac:dyDescent="0.3">
      <c r="A22652" t="str">
        <f t="shared" si="16"/>
        <v>ContemporaryTIP CombinedSep-24</v>
      </c>
      <c r="B22652" s="171" t="s">
        <v>45572</v>
      </c>
      <c r="C22652" s="171" t="s">
        <v>9862</v>
      </c>
      <c r="D22652" s="171" t="s">
        <v>4</v>
      </c>
      <c r="E22652" s="11">
        <v>45536</v>
      </c>
      <c r="F22652">
        <v>0</v>
      </c>
      <c r="G22652">
        <v>0</v>
      </c>
      <c r="I22652">
        <v>0</v>
      </c>
      <c r="J22652">
        <v>0</v>
      </c>
      <c r="L22652">
        <v>0</v>
      </c>
      <c r="N22652">
        <v>0</v>
      </c>
      <c r="P22652">
        <v>0</v>
      </c>
      <c r="Q22652">
        <v>0</v>
      </c>
      <c r="S22652">
        <v>0</v>
      </c>
    </row>
    <row r="22653" spans="1:19" x14ac:dyDescent="0.3">
      <c r="A22653" t="str">
        <f t="shared" si="16"/>
        <v>FPSTIP CombinedSep-24</v>
      </c>
      <c r="B22653" s="171" t="s">
        <v>45573</v>
      </c>
      <c r="C22653" s="171" t="s">
        <v>140</v>
      </c>
      <c r="D22653" s="171" t="s">
        <v>4</v>
      </c>
      <c r="E22653" s="11">
        <v>45536</v>
      </c>
      <c r="F22653">
        <v>0</v>
      </c>
      <c r="G22653">
        <v>0</v>
      </c>
      <c r="I22653">
        <v>0</v>
      </c>
      <c r="J22653">
        <v>0</v>
      </c>
      <c r="L22653">
        <v>0</v>
      </c>
      <c r="N22653">
        <v>0</v>
      </c>
      <c r="P22653">
        <v>0</v>
      </c>
      <c r="Q22653">
        <v>0</v>
      </c>
      <c r="S22653">
        <v>0</v>
      </c>
    </row>
    <row r="22654" spans="1:19" x14ac:dyDescent="0.3">
      <c r="A22654" t="str">
        <f t="shared" si="16"/>
        <v>Green DoorTIP CombinedSep-24</v>
      </c>
      <c r="B22654" s="171" t="s">
        <v>45574</v>
      </c>
      <c r="C22654" s="171" t="s">
        <v>8590</v>
      </c>
      <c r="D22654" s="171" t="s">
        <v>4</v>
      </c>
      <c r="E22654" s="11">
        <v>45536</v>
      </c>
      <c r="F22654">
        <v>0</v>
      </c>
      <c r="G22654">
        <v>0</v>
      </c>
      <c r="I22654">
        <v>0</v>
      </c>
      <c r="J22654">
        <v>0</v>
      </c>
      <c r="L22654">
        <v>0</v>
      </c>
      <c r="N22654">
        <v>0</v>
      </c>
      <c r="P22654">
        <v>0</v>
      </c>
      <c r="Q22654">
        <v>0</v>
      </c>
      <c r="S22654">
        <v>0</v>
      </c>
    </row>
    <row r="22655" spans="1:19" x14ac:dyDescent="0.3">
      <c r="A22655" t="str">
        <f t="shared" si="16"/>
        <v>LESTIP CombinedSep-24</v>
      </c>
      <c r="B22655" s="171" t="s">
        <v>45575</v>
      </c>
      <c r="C22655" s="171" t="s">
        <v>170</v>
      </c>
      <c r="D22655" s="171" t="s">
        <v>4</v>
      </c>
      <c r="E22655" s="11">
        <v>45536</v>
      </c>
      <c r="F22655">
        <v>2.5</v>
      </c>
      <c r="G22655">
        <v>3.5</v>
      </c>
      <c r="I22655">
        <v>12</v>
      </c>
      <c r="J22655">
        <v>35</v>
      </c>
      <c r="L22655">
        <v>49</v>
      </c>
      <c r="N22655">
        <v>12</v>
      </c>
      <c r="P22655">
        <v>0</v>
      </c>
      <c r="Q22655">
        <v>0</v>
      </c>
      <c r="S22655">
        <v>0</v>
      </c>
    </row>
    <row r="22656" spans="1:19" x14ac:dyDescent="0.3">
      <c r="A22656" t="str">
        <f t="shared" si="16"/>
        <v>MBI HSTIP CombinedSep-24</v>
      </c>
      <c r="B22656" s="171" t="s">
        <v>45576</v>
      </c>
      <c r="C22656" s="171" t="s">
        <v>182</v>
      </c>
      <c r="D22656" s="171" t="s">
        <v>4</v>
      </c>
      <c r="E22656" s="11">
        <v>45536</v>
      </c>
      <c r="F22656">
        <v>8</v>
      </c>
      <c r="G22656">
        <v>11</v>
      </c>
      <c r="I22656">
        <v>37</v>
      </c>
      <c r="J22656">
        <v>91</v>
      </c>
      <c r="L22656">
        <v>124</v>
      </c>
      <c r="N22656">
        <v>37</v>
      </c>
      <c r="P22656">
        <v>0</v>
      </c>
      <c r="Q22656">
        <v>0</v>
      </c>
      <c r="S22656">
        <v>0</v>
      </c>
    </row>
    <row r="22657" spans="1:19" x14ac:dyDescent="0.3">
      <c r="A22657" t="str">
        <f t="shared" si="16"/>
        <v>PASSTIP CombinedSep-24</v>
      </c>
      <c r="B22657" s="171" t="s">
        <v>45577</v>
      </c>
      <c r="C22657" s="171" t="s">
        <v>197</v>
      </c>
      <c r="D22657" s="171" t="s">
        <v>4</v>
      </c>
      <c r="E22657" s="11">
        <v>45536</v>
      </c>
      <c r="F22657">
        <v>8</v>
      </c>
      <c r="G22657">
        <v>8</v>
      </c>
      <c r="I22657">
        <v>69</v>
      </c>
      <c r="J22657">
        <v>80</v>
      </c>
      <c r="L22657">
        <v>80</v>
      </c>
      <c r="N22657">
        <v>65</v>
      </c>
      <c r="P22657">
        <v>9</v>
      </c>
      <c r="Q22657">
        <v>10</v>
      </c>
      <c r="S22657">
        <v>4</v>
      </c>
    </row>
    <row r="22658" spans="1:19" x14ac:dyDescent="0.3">
      <c r="A22658" t="str">
        <f t="shared" si="16"/>
        <v>TFCCTIP CombinedSep-24</v>
      </c>
      <c r="B22658" s="171" t="s">
        <v>45578</v>
      </c>
      <c r="C22658" s="171" t="s">
        <v>218</v>
      </c>
      <c r="D22658" s="171" t="s">
        <v>4</v>
      </c>
      <c r="E22658" s="11">
        <v>45536</v>
      </c>
      <c r="F22658">
        <v>0</v>
      </c>
      <c r="G22658">
        <v>0</v>
      </c>
      <c r="I22658">
        <v>0</v>
      </c>
      <c r="J22658">
        <v>0</v>
      </c>
      <c r="L22658">
        <v>0</v>
      </c>
      <c r="N22658">
        <v>0</v>
      </c>
      <c r="P22658">
        <v>0</v>
      </c>
      <c r="Q22658">
        <v>0</v>
      </c>
      <c r="S22658">
        <v>0</v>
      </c>
    </row>
    <row r="22659" spans="1:19" x14ac:dyDescent="0.3">
      <c r="A22659" t="str">
        <f t="shared" si="16"/>
        <v>UmbrellaTIP CombinedSep-24</v>
      </c>
      <c r="B22659" s="171" t="s">
        <v>45579</v>
      </c>
      <c r="C22659" s="171" t="s">
        <v>34871</v>
      </c>
      <c r="D22659" s="171" t="s">
        <v>4</v>
      </c>
      <c r="E22659" s="11">
        <v>45536</v>
      </c>
      <c r="F22659">
        <v>6</v>
      </c>
      <c r="G22659">
        <v>4</v>
      </c>
      <c r="I22659">
        <v>35</v>
      </c>
      <c r="J22659">
        <v>66</v>
      </c>
      <c r="L22659">
        <v>44</v>
      </c>
      <c r="N22659">
        <v>35</v>
      </c>
      <c r="P22659">
        <v>0</v>
      </c>
      <c r="Q22659">
        <v>2</v>
      </c>
      <c r="S22659">
        <v>0</v>
      </c>
    </row>
    <row r="22660" spans="1:19" x14ac:dyDescent="0.3">
      <c r="A22660" t="str">
        <f t="shared" si="16"/>
        <v>UniversalTIP CombinedSep-24</v>
      </c>
      <c r="B22660" s="171" t="s">
        <v>45580</v>
      </c>
      <c r="C22660" s="171" t="s">
        <v>230</v>
      </c>
      <c r="D22660" s="171" t="s">
        <v>4</v>
      </c>
      <c r="E22660" s="11">
        <v>45536</v>
      </c>
      <c r="F22660">
        <v>0</v>
      </c>
      <c r="G22660">
        <v>0</v>
      </c>
      <c r="I22660">
        <v>0</v>
      </c>
      <c r="J22660">
        <v>0</v>
      </c>
      <c r="L22660">
        <v>0</v>
      </c>
      <c r="N22660">
        <v>0</v>
      </c>
      <c r="P22660">
        <v>0</v>
      </c>
      <c r="Q22660">
        <v>0</v>
      </c>
      <c r="S22660">
        <v>0</v>
      </c>
    </row>
    <row r="22661" spans="1:19" x14ac:dyDescent="0.3">
      <c r="A22661" t="str">
        <f t="shared" si="16"/>
        <v>Wayne PlaceTIP CombinedSep-24</v>
      </c>
      <c r="B22661" s="171" t="s">
        <v>45581</v>
      </c>
      <c r="C22661" s="171" t="s">
        <v>8193</v>
      </c>
      <c r="D22661" s="171" t="s">
        <v>4</v>
      </c>
      <c r="E22661" s="11">
        <v>45536</v>
      </c>
      <c r="F22661">
        <v>2</v>
      </c>
      <c r="G22661">
        <v>3</v>
      </c>
      <c r="I22661">
        <v>18</v>
      </c>
      <c r="J22661">
        <v>22</v>
      </c>
      <c r="L22661">
        <v>33</v>
      </c>
      <c r="N22661">
        <v>18</v>
      </c>
      <c r="P22661">
        <v>0</v>
      </c>
      <c r="Q22661">
        <v>0</v>
      </c>
      <c r="S22661">
        <v>0</v>
      </c>
    </row>
    <row r="22662" spans="1:19" x14ac:dyDescent="0.3">
      <c r="A22662" t="str">
        <f t="shared" si="16"/>
        <v>Adoptions TogetherTST CombinedSep-24</v>
      </c>
      <c r="B22662" s="171" t="s">
        <v>45582</v>
      </c>
      <c r="C22662" s="171" t="s">
        <v>10522</v>
      </c>
      <c r="D22662" s="171" t="s">
        <v>4</v>
      </c>
      <c r="E22662" s="11">
        <v>45536</v>
      </c>
      <c r="F22662">
        <v>0</v>
      </c>
      <c r="G22662">
        <v>0</v>
      </c>
      <c r="I22662">
        <v>0</v>
      </c>
      <c r="J22662">
        <v>0</v>
      </c>
      <c r="L22662">
        <v>0</v>
      </c>
      <c r="N22662">
        <v>0</v>
      </c>
      <c r="P22662">
        <v>0</v>
      </c>
      <c r="Q22662">
        <v>0</v>
      </c>
      <c r="S22662">
        <v>0</v>
      </c>
    </row>
    <row r="22663" spans="1:19" x14ac:dyDescent="0.3">
      <c r="A22663" t="str">
        <f t="shared" si="16"/>
        <v>ContemporaryTST CombinedSep-24</v>
      </c>
      <c r="B22663" s="171" t="s">
        <v>45583</v>
      </c>
      <c r="C22663" s="171" t="s">
        <v>10525</v>
      </c>
      <c r="D22663" s="171" t="s">
        <v>4</v>
      </c>
      <c r="E22663" s="11">
        <v>45536</v>
      </c>
      <c r="F22663">
        <v>0</v>
      </c>
      <c r="G22663">
        <v>0</v>
      </c>
      <c r="I22663">
        <v>0</v>
      </c>
      <c r="J22663">
        <v>0</v>
      </c>
      <c r="L22663">
        <v>0</v>
      </c>
      <c r="N22663">
        <v>0</v>
      </c>
      <c r="P22663">
        <v>0</v>
      </c>
      <c r="Q22663">
        <v>0</v>
      </c>
      <c r="S22663">
        <v>0</v>
      </c>
    </row>
    <row r="22664" spans="1:19" x14ac:dyDescent="0.3">
      <c r="A22664" t="str">
        <f t="shared" si="16"/>
        <v>Family MattersTST CombinedSep-24</v>
      </c>
      <c r="B22664" s="171" t="s">
        <v>45584</v>
      </c>
      <c r="C22664" s="171" t="s">
        <v>10528</v>
      </c>
      <c r="D22664" s="171" t="s">
        <v>4</v>
      </c>
      <c r="E22664" s="11">
        <v>45536</v>
      </c>
      <c r="F22664">
        <v>0</v>
      </c>
      <c r="G22664">
        <v>0</v>
      </c>
      <c r="I22664">
        <v>0</v>
      </c>
      <c r="J22664">
        <v>0</v>
      </c>
      <c r="L22664">
        <v>0</v>
      </c>
      <c r="N22664">
        <v>0</v>
      </c>
      <c r="P22664">
        <v>0</v>
      </c>
      <c r="Q22664">
        <v>0</v>
      </c>
      <c r="S22664">
        <v>0</v>
      </c>
    </row>
    <row r="22665" spans="1:19" x14ac:dyDescent="0.3">
      <c r="A22665" t="str">
        <f t="shared" si="16"/>
        <v>First Home CareTST CombinedSep-24</v>
      </c>
      <c r="B22665" s="171" t="s">
        <v>45585</v>
      </c>
      <c r="C22665" s="171" t="s">
        <v>10531</v>
      </c>
      <c r="D22665" s="171" t="s">
        <v>4</v>
      </c>
      <c r="E22665" s="11">
        <v>45536</v>
      </c>
      <c r="F22665">
        <v>0</v>
      </c>
      <c r="G22665">
        <v>0</v>
      </c>
      <c r="I22665">
        <v>0</v>
      </c>
      <c r="J22665">
        <v>0</v>
      </c>
      <c r="L22665">
        <v>0</v>
      </c>
      <c r="N22665">
        <v>0</v>
      </c>
      <c r="P22665">
        <v>0</v>
      </c>
      <c r="Q22665">
        <v>0</v>
      </c>
      <c r="S22665">
        <v>0</v>
      </c>
    </row>
    <row r="22666" spans="1:19" x14ac:dyDescent="0.3">
      <c r="A22666" t="str">
        <f t="shared" si="16"/>
        <v>Foundations for Home &amp; CommunityTST CombinedSep-24</v>
      </c>
      <c r="B22666" s="171" t="s">
        <v>45586</v>
      </c>
      <c r="C22666" s="171" t="s">
        <v>14880</v>
      </c>
      <c r="D22666" s="171" t="s">
        <v>4</v>
      </c>
      <c r="E22666" s="11">
        <v>45536</v>
      </c>
      <c r="F22666">
        <v>0</v>
      </c>
      <c r="G22666">
        <v>0</v>
      </c>
      <c r="I22666">
        <v>0</v>
      </c>
      <c r="J22666">
        <v>0</v>
      </c>
      <c r="L22666">
        <v>0</v>
      </c>
      <c r="N22666">
        <v>0</v>
      </c>
      <c r="P22666">
        <v>0</v>
      </c>
      <c r="Q22666">
        <v>0</v>
      </c>
      <c r="S22666">
        <v>0</v>
      </c>
    </row>
    <row r="22667" spans="1:19" x14ac:dyDescent="0.3">
      <c r="A22667" t="str">
        <f t="shared" si="16"/>
        <v>HillcrestTST CombinedSep-24</v>
      </c>
      <c r="B22667" s="171" t="s">
        <v>45587</v>
      </c>
      <c r="C22667" s="171" t="s">
        <v>10534</v>
      </c>
      <c r="D22667" s="171" t="s">
        <v>4</v>
      </c>
      <c r="E22667" s="11">
        <v>45536</v>
      </c>
      <c r="F22667">
        <v>1</v>
      </c>
      <c r="G22667">
        <v>3</v>
      </c>
      <c r="I22667">
        <v>6</v>
      </c>
      <c r="J22667">
        <v>5</v>
      </c>
      <c r="L22667">
        <v>17</v>
      </c>
      <c r="N22667">
        <v>5</v>
      </c>
      <c r="P22667">
        <v>0</v>
      </c>
      <c r="Q22667">
        <v>0</v>
      </c>
      <c r="S22667">
        <v>1</v>
      </c>
    </row>
    <row r="22668" spans="1:19" x14ac:dyDescent="0.3">
      <c r="A22668" t="str">
        <f t="shared" si="16"/>
        <v>MD Family ResourcesTST CombinedSep-24</v>
      </c>
      <c r="B22668" s="171" t="s">
        <v>45588</v>
      </c>
      <c r="C22668" s="171" t="s">
        <v>10537</v>
      </c>
      <c r="D22668" s="171" t="s">
        <v>4</v>
      </c>
      <c r="E22668" s="11">
        <v>45536</v>
      </c>
      <c r="F22668">
        <v>0</v>
      </c>
      <c r="G22668">
        <v>2</v>
      </c>
      <c r="I22668">
        <v>0</v>
      </c>
      <c r="J22668">
        <v>0</v>
      </c>
      <c r="L22668">
        <v>11</v>
      </c>
      <c r="N22668">
        <v>0</v>
      </c>
      <c r="P22668">
        <v>0</v>
      </c>
      <c r="Q22668">
        <v>0</v>
      </c>
      <c r="S22668">
        <v>0</v>
      </c>
    </row>
    <row r="22669" spans="1:19" x14ac:dyDescent="0.3">
      <c r="A22669" t="str">
        <f t="shared" si="16"/>
        <v>Marys CenterCPP-FV CombinedSep-24</v>
      </c>
      <c r="B22669" s="171" t="s">
        <v>45589</v>
      </c>
      <c r="C22669" s="171" t="s">
        <v>15347</v>
      </c>
      <c r="D22669" s="171" t="s">
        <v>4</v>
      </c>
      <c r="E22669" s="11">
        <v>45536</v>
      </c>
      <c r="F22669">
        <v>1.5</v>
      </c>
      <c r="G22669">
        <v>1</v>
      </c>
      <c r="I22669">
        <v>5</v>
      </c>
      <c r="J22669">
        <v>9</v>
      </c>
      <c r="L22669">
        <v>6</v>
      </c>
      <c r="N22669">
        <v>5</v>
      </c>
      <c r="P22669">
        <v>0</v>
      </c>
      <c r="Q22669">
        <v>0</v>
      </c>
      <c r="S22669">
        <v>0</v>
      </c>
    </row>
    <row r="22670" spans="1:19" x14ac:dyDescent="0.3">
      <c r="A22670" t="str">
        <f t="shared" si="16"/>
        <v>PIECECPP-FV CombinedSep-24</v>
      </c>
      <c r="B22670" s="171" t="s">
        <v>45590</v>
      </c>
      <c r="C22670" s="171" t="s">
        <v>203</v>
      </c>
      <c r="D22670" s="171" t="s">
        <v>4</v>
      </c>
      <c r="E22670" s="11">
        <v>45536</v>
      </c>
      <c r="F22670">
        <v>3</v>
      </c>
      <c r="G22670">
        <v>3</v>
      </c>
      <c r="I22670">
        <v>3</v>
      </c>
      <c r="J22670">
        <v>15</v>
      </c>
      <c r="L22670">
        <v>15</v>
      </c>
      <c r="N22670">
        <v>3</v>
      </c>
      <c r="P22670">
        <v>0</v>
      </c>
      <c r="Q22670">
        <v>0</v>
      </c>
      <c r="S22670">
        <v>0</v>
      </c>
    </row>
    <row r="22671" spans="1:19" x14ac:dyDescent="0.3">
      <c r="A22671" t="str">
        <f t="shared" si="16"/>
        <v>Community ConnectionsCPP-FV CombinedSep-24</v>
      </c>
      <c r="B22671" s="171" t="s">
        <v>45591</v>
      </c>
      <c r="C22671" s="171" t="s">
        <v>15340</v>
      </c>
      <c r="D22671" s="171" t="s">
        <v>4</v>
      </c>
      <c r="E22671" s="11">
        <v>45536</v>
      </c>
      <c r="F22671">
        <v>0</v>
      </c>
      <c r="G22671">
        <v>0</v>
      </c>
      <c r="I22671">
        <v>0</v>
      </c>
      <c r="J22671">
        <v>0</v>
      </c>
      <c r="L22671">
        <v>0</v>
      </c>
      <c r="N22671">
        <v>0</v>
      </c>
      <c r="P22671">
        <v>0</v>
      </c>
      <c r="Q22671">
        <v>0</v>
      </c>
      <c r="S22671">
        <v>0</v>
      </c>
    </row>
    <row r="22672" spans="1:19" x14ac:dyDescent="0.3">
      <c r="A22672" t="str">
        <f t="shared" ref="A22672:A22735" si="17">C22672&amp;" "&amp;D22672&amp;"Sep-24"</f>
        <v>Community ConnectionsPCIT CombinedSep-24</v>
      </c>
      <c r="B22672" s="171" t="s">
        <v>45592</v>
      </c>
      <c r="C22672" s="171" t="s">
        <v>16544</v>
      </c>
      <c r="D22672" s="171" t="s">
        <v>4</v>
      </c>
      <c r="E22672" s="11">
        <v>45536</v>
      </c>
      <c r="F22672">
        <v>0</v>
      </c>
      <c r="G22672">
        <v>0</v>
      </c>
      <c r="I22672">
        <v>0</v>
      </c>
      <c r="J22672">
        <v>0</v>
      </c>
      <c r="L22672">
        <v>0</v>
      </c>
      <c r="N22672">
        <v>0</v>
      </c>
      <c r="P22672">
        <v>0</v>
      </c>
      <c r="Q22672">
        <v>0</v>
      </c>
      <c r="S22672">
        <v>0</v>
      </c>
    </row>
    <row r="22673" spans="1:19" x14ac:dyDescent="0.3">
      <c r="A22673" t="str">
        <f t="shared" si="17"/>
        <v>Marys CenterPCIT CombinedSep-24</v>
      </c>
      <c r="B22673" s="171" t="s">
        <v>45593</v>
      </c>
      <c r="C22673" s="171" t="s">
        <v>176</v>
      </c>
      <c r="D22673" s="171" t="s">
        <v>4</v>
      </c>
      <c r="E22673" s="11">
        <v>45536</v>
      </c>
      <c r="F22673">
        <v>2</v>
      </c>
      <c r="G22673">
        <v>2</v>
      </c>
      <c r="I22673">
        <v>1</v>
      </c>
      <c r="J22673">
        <v>11</v>
      </c>
      <c r="L22673">
        <v>11</v>
      </c>
      <c r="N22673">
        <v>1</v>
      </c>
      <c r="P22673">
        <v>1</v>
      </c>
      <c r="Q22673">
        <v>5</v>
      </c>
      <c r="S22673">
        <v>0</v>
      </c>
    </row>
    <row r="22674" spans="1:19" x14ac:dyDescent="0.3">
      <c r="A22674" t="str">
        <f t="shared" si="17"/>
        <v>PIECEPCIT CombinedSep-24</v>
      </c>
      <c r="B22674" s="171" t="s">
        <v>45594</v>
      </c>
      <c r="C22674" s="171" t="s">
        <v>206</v>
      </c>
      <c r="D22674" s="171" t="s">
        <v>4</v>
      </c>
      <c r="E22674" s="11">
        <v>45536</v>
      </c>
      <c r="F22674">
        <v>1.5</v>
      </c>
      <c r="G22674">
        <v>2</v>
      </c>
      <c r="I22674">
        <v>2</v>
      </c>
      <c r="J22674">
        <v>7</v>
      </c>
      <c r="L22674">
        <v>8</v>
      </c>
      <c r="N22674">
        <v>1</v>
      </c>
      <c r="P22674">
        <v>0</v>
      </c>
      <c r="Q22674">
        <v>0</v>
      </c>
      <c r="S22674">
        <v>1</v>
      </c>
    </row>
    <row r="22675" spans="1:19" x14ac:dyDescent="0.3">
      <c r="A22675" t="str">
        <f t="shared" si="17"/>
        <v>Better MorningsFFT FFSep-24</v>
      </c>
      <c r="B22675" s="171" t="s">
        <v>45482</v>
      </c>
      <c r="C22675" s="171" t="s">
        <v>24284</v>
      </c>
      <c r="D22675" s="171" t="s">
        <v>80</v>
      </c>
      <c r="E22675" s="11">
        <v>45536</v>
      </c>
      <c r="F22675">
        <v>7</v>
      </c>
      <c r="G22675">
        <v>10</v>
      </c>
      <c r="I22675">
        <v>21</v>
      </c>
      <c r="J22675">
        <v>34</v>
      </c>
      <c r="L22675">
        <v>45</v>
      </c>
      <c r="N22675">
        <v>15</v>
      </c>
      <c r="P22675">
        <v>5</v>
      </c>
      <c r="Q22675">
        <v>7</v>
      </c>
      <c r="S22675">
        <v>6</v>
      </c>
    </row>
    <row r="22676" spans="1:19" x14ac:dyDescent="0.3">
      <c r="A22676" t="str">
        <f t="shared" si="17"/>
        <v>CatholicAll FFSep-24</v>
      </c>
      <c r="B22676" s="171" t="s">
        <v>45595</v>
      </c>
      <c r="C22676" s="171" t="s">
        <v>18229</v>
      </c>
      <c r="D22676" s="171" t="s">
        <v>80</v>
      </c>
      <c r="E22676" s="11">
        <v>45536</v>
      </c>
      <c r="F22676">
        <v>0</v>
      </c>
      <c r="G22676">
        <v>0</v>
      </c>
      <c r="I22676">
        <v>0</v>
      </c>
      <c r="J22676">
        <v>0</v>
      </c>
      <c r="L22676">
        <v>0</v>
      </c>
      <c r="N22676">
        <v>0</v>
      </c>
      <c r="P22676">
        <v>0</v>
      </c>
      <c r="Q22676">
        <v>0</v>
      </c>
      <c r="S22676">
        <v>0</v>
      </c>
    </row>
    <row r="22677" spans="1:19" x14ac:dyDescent="0.3">
      <c r="A22677" t="str">
        <f t="shared" si="17"/>
        <v>ContemporaryAll FFSep-24</v>
      </c>
      <c r="B22677" s="171" t="s">
        <v>45596</v>
      </c>
      <c r="C22677" s="171" t="s">
        <v>9887</v>
      </c>
      <c r="D22677" s="171" t="s">
        <v>80</v>
      </c>
      <c r="E22677" s="11">
        <v>45536</v>
      </c>
      <c r="F22677">
        <v>0</v>
      </c>
      <c r="G22677">
        <v>0</v>
      </c>
      <c r="I22677">
        <v>0</v>
      </c>
      <c r="J22677">
        <v>0</v>
      </c>
      <c r="L22677">
        <v>0</v>
      </c>
      <c r="N22677">
        <v>0</v>
      </c>
      <c r="P22677">
        <v>0</v>
      </c>
      <c r="Q22677">
        <v>0</v>
      </c>
      <c r="S22677">
        <v>0</v>
      </c>
    </row>
    <row r="22678" spans="1:19" x14ac:dyDescent="0.3">
      <c r="A22678" t="str">
        <f t="shared" si="17"/>
        <v>DBH Parent SupportAll FFSep-24</v>
      </c>
      <c r="B22678" s="171" t="s">
        <v>45597</v>
      </c>
      <c r="C22678" s="171" t="s">
        <v>35010</v>
      </c>
      <c r="D22678" s="171" t="s">
        <v>80</v>
      </c>
      <c r="E22678" s="11">
        <v>45536</v>
      </c>
      <c r="F22678">
        <v>0</v>
      </c>
      <c r="G22678">
        <v>0</v>
      </c>
      <c r="I22678">
        <v>0</v>
      </c>
      <c r="J22678">
        <v>0</v>
      </c>
      <c r="L22678">
        <v>0</v>
      </c>
      <c r="N22678">
        <v>0</v>
      </c>
      <c r="P22678">
        <v>0</v>
      </c>
      <c r="Q22678">
        <v>0</v>
      </c>
      <c r="S22678">
        <v>0</v>
      </c>
    </row>
    <row r="22679" spans="1:19" x14ac:dyDescent="0.3">
      <c r="A22679" t="str">
        <f t="shared" si="17"/>
        <v>Family MattersAll FFSep-24</v>
      </c>
      <c r="B22679" s="171" t="s">
        <v>45598</v>
      </c>
      <c r="C22679" s="171" t="s">
        <v>11260</v>
      </c>
      <c r="D22679" s="171" t="s">
        <v>80</v>
      </c>
      <c r="E22679" s="11">
        <v>45536</v>
      </c>
      <c r="F22679">
        <v>0</v>
      </c>
      <c r="G22679">
        <v>0</v>
      </c>
      <c r="I22679">
        <v>0</v>
      </c>
      <c r="J22679">
        <v>0</v>
      </c>
      <c r="L22679">
        <v>0</v>
      </c>
      <c r="N22679">
        <v>0</v>
      </c>
      <c r="P22679">
        <v>0</v>
      </c>
      <c r="Q22679">
        <v>0</v>
      </c>
      <c r="S22679">
        <v>0</v>
      </c>
    </row>
    <row r="22680" spans="1:19" x14ac:dyDescent="0.3">
      <c r="A22680" t="str">
        <f t="shared" si="17"/>
        <v>Federal City All FFSep-24</v>
      </c>
      <c r="B22680" s="171" t="s">
        <v>45599</v>
      </c>
      <c r="C22680" s="171" t="s">
        <v>21284</v>
      </c>
      <c r="D22680" s="171" t="s">
        <v>80</v>
      </c>
      <c r="E22680" s="11">
        <v>45536</v>
      </c>
      <c r="F22680">
        <v>0</v>
      </c>
      <c r="G22680">
        <v>0</v>
      </c>
      <c r="I22680">
        <v>0</v>
      </c>
      <c r="J22680">
        <v>0</v>
      </c>
      <c r="L22680">
        <v>0</v>
      </c>
      <c r="N22680">
        <v>0</v>
      </c>
      <c r="P22680">
        <v>0</v>
      </c>
      <c r="Q22680">
        <v>0</v>
      </c>
      <c r="S22680">
        <v>0</v>
      </c>
    </row>
    <row r="22681" spans="1:19" x14ac:dyDescent="0.3">
      <c r="A22681" t="str">
        <f t="shared" si="17"/>
        <v>First Home CareAll FFSep-24</v>
      </c>
      <c r="B22681" s="171" t="s">
        <v>45600</v>
      </c>
      <c r="C22681" s="171" t="s">
        <v>125</v>
      </c>
      <c r="D22681" s="171" t="s">
        <v>80</v>
      </c>
      <c r="E22681" s="11">
        <v>45536</v>
      </c>
      <c r="F22681">
        <v>0</v>
      </c>
      <c r="G22681">
        <v>0</v>
      </c>
      <c r="I22681">
        <v>0</v>
      </c>
      <c r="J22681">
        <v>0</v>
      </c>
      <c r="L22681">
        <v>0</v>
      </c>
      <c r="N22681">
        <v>0</v>
      </c>
      <c r="P22681">
        <v>0</v>
      </c>
      <c r="Q22681">
        <v>0</v>
      </c>
      <c r="S22681">
        <v>0</v>
      </c>
    </row>
    <row r="22682" spans="1:19" x14ac:dyDescent="0.3">
      <c r="A22682" t="str">
        <f t="shared" si="17"/>
        <v>Foundations for Home &amp; CommunityAll FFSep-24</v>
      </c>
      <c r="B22682" s="171" t="s">
        <v>45601</v>
      </c>
      <c r="C22682" s="171" t="s">
        <v>14899</v>
      </c>
      <c r="D22682" s="171" t="s">
        <v>80</v>
      </c>
      <c r="E22682" s="11">
        <v>45536</v>
      </c>
      <c r="F22682">
        <v>0</v>
      </c>
      <c r="G22682">
        <v>0</v>
      </c>
      <c r="I22682">
        <v>0</v>
      </c>
      <c r="J22682">
        <v>0</v>
      </c>
      <c r="L22682">
        <v>0</v>
      </c>
      <c r="N22682">
        <v>0</v>
      </c>
      <c r="P22682">
        <v>0</v>
      </c>
      <c r="Q22682">
        <v>0</v>
      </c>
      <c r="S22682">
        <v>0</v>
      </c>
    </row>
    <row r="22683" spans="1:19" x14ac:dyDescent="0.3">
      <c r="A22683" t="str">
        <f t="shared" si="17"/>
        <v>FPSAll FFSep-24</v>
      </c>
      <c r="B22683" s="171" t="s">
        <v>45602</v>
      </c>
      <c r="C22683" s="171" t="s">
        <v>137</v>
      </c>
      <c r="D22683" s="171" t="s">
        <v>80</v>
      </c>
      <c r="E22683" s="11">
        <v>45536</v>
      </c>
      <c r="F22683">
        <v>0</v>
      </c>
      <c r="G22683">
        <v>0</v>
      </c>
      <c r="I22683">
        <v>0</v>
      </c>
      <c r="J22683">
        <v>0</v>
      </c>
      <c r="L22683">
        <v>0</v>
      </c>
      <c r="N22683">
        <v>0</v>
      </c>
      <c r="P22683">
        <v>0</v>
      </c>
      <c r="Q22683">
        <v>0</v>
      </c>
      <c r="S22683">
        <v>0</v>
      </c>
    </row>
    <row r="22684" spans="1:19" x14ac:dyDescent="0.3">
      <c r="A22684" t="str">
        <f t="shared" si="17"/>
        <v>Green DoorAll FFSep-24</v>
      </c>
      <c r="B22684" s="171" t="s">
        <v>45603</v>
      </c>
      <c r="C22684" s="171" t="s">
        <v>8615</v>
      </c>
      <c r="D22684" s="171" t="s">
        <v>80</v>
      </c>
      <c r="E22684" s="11">
        <v>45536</v>
      </c>
      <c r="F22684">
        <v>0</v>
      </c>
      <c r="G22684">
        <v>0</v>
      </c>
      <c r="I22684">
        <v>0</v>
      </c>
      <c r="J22684">
        <v>0</v>
      </c>
      <c r="L22684">
        <v>0</v>
      </c>
      <c r="N22684">
        <v>0</v>
      </c>
      <c r="P22684">
        <v>0</v>
      </c>
      <c r="Q22684">
        <v>0</v>
      </c>
      <c r="S22684">
        <v>0</v>
      </c>
    </row>
    <row r="22685" spans="1:19" x14ac:dyDescent="0.3">
      <c r="A22685" t="str">
        <f t="shared" si="17"/>
        <v>Healthy FuturesAll FFSep-24</v>
      </c>
      <c r="B22685" s="171" t="s">
        <v>45604</v>
      </c>
      <c r="C22685" s="171" t="s">
        <v>35025</v>
      </c>
      <c r="D22685" s="171" t="s">
        <v>80</v>
      </c>
      <c r="E22685" s="11">
        <v>45536</v>
      </c>
      <c r="F22685">
        <v>0</v>
      </c>
      <c r="G22685">
        <v>0</v>
      </c>
      <c r="I22685">
        <v>0</v>
      </c>
      <c r="J22685">
        <v>0</v>
      </c>
      <c r="L22685">
        <v>0</v>
      </c>
      <c r="N22685">
        <v>0</v>
      </c>
      <c r="P22685">
        <v>0</v>
      </c>
      <c r="Q22685">
        <v>0</v>
      </c>
      <c r="S22685">
        <v>0</v>
      </c>
    </row>
    <row r="22686" spans="1:19" x14ac:dyDescent="0.3">
      <c r="A22686" t="str">
        <f t="shared" si="17"/>
        <v>HillcrestAll FFSep-24</v>
      </c>
      <c r="B22686" s="171" t="s">
        <v>45605</v>
      </c>
      <c r="C22686" s="171" t="s">
        <v>146</v>
      </c>
      <c r="D22686" s="171" t="s">
        <v>80</v>
      </c>
      <c r="E22686" s="11">
        <v>45536</v>
      </c>
      <c r="F22686">
        <v>6.5</v>
      </c>
      <c r="G22686">
        <v>11</v>
      </c>
      <c r="I22686">
        <v>29</v>
      </c>
      <c r="J22686">
        <v>33</v>
      </c>
      <c r="L22686">
        <v>58</v>
      </c>
      <c r="N22686">
        <v>27</v>
      </c>
      <c r="P22686">
        <v>1</v>
      </c>
      <c r="Q22686">
        <v>2</v>
      </c>
      <c r="S22686">
        <v>2</v>
      </c>
    </row>
    <row r="22687" spans="1:19" x14ac:dyDescent="0.3">
      <c r="A22687" t="str">
        <f t="shared" si="17"/>
        <v>LAYCAll FFSep-24</v>
      </c>
      <c r="B22687" s="171" t="s">
        <v>45606</v>
      </c>
      <c r="C22687" s="171" t="s">
        <v>161</v>
      </c>
      <c r="D22687" s="171" t="s">
        <v>80</v>
      </c>
      <c r="E22687" s="11">
        <v>45536</v>
      </c>
      <c r="F22687">
        <v>2</v>
      </c>
      <c r="G22687">
        <v>4</v>
      </c>
      <c r="I22687">
        <v>3</v>
      </c>
      <c r="J22687">
        <v>12</v>
      </c>
      <c r="L22687">
        <v>24</v>
      </c>
      <c r="N22687">
        <v>2</v>
      </c>
      <c r="P22687">
        <v>2</v>
      </c>
      <c r="Q22687">
        <v>3</v>
      </c>
      <c r="S22687">
        <v>1</v>
      </c>
    </row>
    <row r="22688" spans="1:19" x14ac:dyDescent="0.3">
      <c r="A22688" t="str">
        <f t="shared" si="17"/>
        <v>LCSAll FFSep-24</v>
      </c>
      <c r="B22688" s="171" t="s">
        <v>45607</v>
      </c>
      <c r="C22688" s="171" t="s">
        <v>18252</v>
      </c>
      <c r="D22688" s="171" t="s">
        <v>80</v>
      </c>
      <c r="E22688" s="11">
        <v>45536</v>
      </c>
      <c r="F22688">
        <v>0</v>
      </c>
      <c r="G22688">
        <v>0</v>
      </c>
      <c r="I22688">
        <v>0</v>
      </c>
      <c r="J22688">
        <v>0</v>
      </c>
      <c r="L22688">
        <v>0</v>
      </c>
      <c r="N22688">
        <v>0</v>
      </c>
      <c r="P22688">
        <v>0</v>
      </c>
      <c r="Q22688">
        <v>0</v>
      </c>
      <c r="S22688">
        <v>0</v>
      </c>
    </row>
    <row r="22689" spans="1:19" x14ac:dyDescent="0.3">
      <c r="A22689" t="str">
        <f t="shared" si="17"/>
        <v>LESAll FFSep-24</v>
      </c>
      <c r="B22689" s="171" t="s">
        <v>45608</v>
      </c>
      <c r="C22689" s="171" t="s">
        <v>167</v>
      </c>
      <c r="D22689" s="171" t="s">
        <v>80</v>
      </c>
      <c r="E22689" s="11">
        <v>45536</v>
      </c>
      <c r="F22689">
        <v>2.5</v>
      </c>
      <c r="G22689">
        <v>4.5</v>
      </c>
      <c r="I22689">
        <v>12</v>
      </c>
      <c r="J22689">
        <v>35</v>
      </c>
      <c r="L22689">
        <v>53</v>
      </c>
      <c r="N22689">
        <v>12</v>
      </c>
      <c r="P22689">
        <v>0</v>
      </c>
      <c r="Q22689">
        <v>0</v>
      </c>
      <c r="S22689">
        <v>0</v>
      </c>
    </row>
    <row r="22690" spans="1:19" x14ac:dyDescent="0.3">
      <c r="A22690" t="str">
        <f t="shared" si="17"/>
        <v>MBI HSAll FFSep-24</v>
      </c>
      <c r="B22690" s="171" t="s">
        <v>45609</v>
      </c>
      <c r="C22690" s="171" t="s">
        <v>179</v>
      </c>
      <c r="D22690" s="171" t="s">
        <v>80</v>
      </c>
      <c r="E22690" s="11">
        <v>45536</v>
      </c>
      <c r="F22690">
        <v>12</v>
      </c>
      <c r="G22690">
        <v>16</v>
      </c>
      <c r="I22690">
        <v>53</v>
      </c>
      <c r="J22690">
        <v>109</v>
      </c>
      <c r="L22690">
        <v>148</v>
      </c>
      <c r="N22690">
        <v>51</v>
      </c>
      <c r="P22690">
        <v>2</v>
      </c>
      <c r="Q22690">
        <v>2</v>
      </c>
      <c r="S22690">
        <v>2</v>
      </c>
    </row>
    <row r="22691" spans="1:19" x14ac:dyDescent="0.3">
      <c r="A22691" t="str">
        <f t="shared" si="17"/>
        <v>MD Family ResourcesAll FFSep-24</v>
      </c>
      <c r="B22691" s="171" t="s">
        <v>45610</v>
      </c>
      <c r="C22691" s="171" t="s">
        <v>185</v>
      </c>
      <c r="D22691" s="171" t="s">
        <v>80</v>
      </c>
      <c r="E22691" s="11">
        <v>45536</v>
      </c>
      <c r="F22691">
        <v>1.5</v>
      </c>
      <c r="G22691">
        <v>8</v>
      </c>
      <c r="I22691">
        <v>5</v>
      </c>
      <c r="J22691">
        <v>8</v>
      </c>
      <c r="L22691">
        <v>40</v>
      </c>
      <c r="N22691">
        <v>5</v>
      </c>
      <c r="P22691">
        <v>0</v>
      </c>
      <c r="Q22691">
        <v>0</v>
      </c>
      <c r="S22691">
        <v>0</v>
      </c>
    </row>
    <row r="22692" spans="1:19" x14ac:dyDescent="0.3">
      <c r="A22692" t="str">
        <f t="shared" si="17"/>
        <v>PASSAll FFSep-24</v>
      </c>
      <c r="B22692" s="171" t="s">
        <v>45611</v>
      </c>
      <c r="C22692" s="171" t="s">
        <v>191</v>
      </c>
      <c r="D22692" s="171" t="s">
        <v>80</v>
      </c>
      <c r="E22692" s="11">
        <v>45536</v>
      </c>
      <c r="F22692">
        <v>10</v>
      </c>
      <c r="G22692">
        <v>13</v>
      </c>
      <c r="I22692">
        <v>78</v>
      </c>
      <c r="J22692">
        <v>92</v>
      </c>
      <c r="L22692">
        <v>107</v>
      </c>
      <c r="N22692">
        <v>72</v>
      </c>
      <c r="P22692">
        <v>13</v>
      </c>
      <c r="Q22692">
        <v>15</v>
      </c>
      <c r="S22692">
        <v>6</v>
      </c>
    </row>
    <row r="22693" spans="1:19" x14ac:dyDescent="0.3">
      <c r="A22693" t="str">
        <f t="shared" si="17"/>
        <v>RiversideAll FFSep-24</v>
      </c>
      <c r="B22693" s="171" t="s">
        <v>45612</v>
      </c>
      <c r="C22693" s="171" t="s">
        <v>212</v>
      </c>
      <c r="D22693" s="171" t="s">
        <v>80</v>
      </c>
      <c r="E22693" s="11">
        <v>45536</v>
      </c>
      <c r="F22693">
        <v>0</v>
      </c>
      <c r="G22693">
        <v>0</v>
      </c>
      <c r="I22693">
        <v>0</v>
      </c>
      <c r="J22693">
        <v>0</v>
      </c>
      <c r="L22693">
        <v>0</v>
      </c>
      <c r="N22693">
        <v>0</v>
      </c>
      <c r="P22693">
        <v>0</v>
      </c>
      <c r="Q22693">
        <v>0</v>
      </c>
      <c r="S22693">
        <v>0</v>
      </c>
    </row>
    <row r="22694" spans="1:19" x14ac:dyDescent="0.3">
      <c r="A22694" t="str">
        <f t="shared" si="17"/>
        <v>TFCCAll FFSep-24</v>
      </c>
      <c r="B22694" s="171" t="s">
        <v>45613</v>
      </c>
      <c r="C22694" s="171" t="s">
        <v>215</v>
      </c>
      <c r="D22694" s="171" t="s">
        <v>80</v>
      </c>
      <c r="E22694" s="11">
        <v>45536</v>
      </c>
      <c r="F22694">
        <v>0</v>
      </c>
      <c r="G22694">
        <v>0</v>
      </c>
      <c r="I22694">
        <v>0</v>
      </c>
      <c r="J22694">
        <v>0</v>
      </c>
      <c r="L22694">
        <v>0</v>
      </c>
      <c r="N22694">
        <v>0</v>
      </c>
      <c r="P22694">
        <v>0</v>
      </c>
      <c r="Q22694">
        <v>0</v>
      </c>
      <c r="S22694">
        <v>0</v>
      </c>
    </row>
    <row r="22695" spans="1:19" x14ac:dyDescent="0.3">
      <c r="A22695" t="str">
        <f t="shared" si="17"/>
        <v>TFCCAll FFSep-24</v>
      </c>
      <c r="B22695" s="171" t="s">
        <v>45613</v>
      </c>
      <c r="C22695" s="171" t="s">
        <v>215</v>
      </c>
      <c r="D22695" s="171" t="s">
        <v>80</v>
      </c>
      <c r="E22695" s="11">
        <v>45536</v>
      </c>
      <c r="F22695">
        <v>6</v>
      </c>
      <c r="G22695">
        <v>4</v>
      </c>
      <c r="I22695">
        <v>35</v>
      </c>
      <c r="J22695">
        <v>66</v>
      </c>
      <c r="L22695">
        <v>44</v>
      </c>
      <c r="N22695">
        <v>35</v>
      </c>
      <c r="P22695">
        <v>0</v>
      </c>
      <c r="Q22695">
        <v>2</v>
      </c>
      <c r="S22695">
        <v>0</v>
      </c>
    </row>
    <row r="22696" spans="1:19" x14ac:dyDescent="0.3">
      <c r="A22696" t="str">
        <f t="shared" si="17"/>
        <v>UniversalAll FFSep-24</v>
      </c>
      <c r="B22696" s="171" t="s">
        <v>45614</v>
      </c>
      <c r="C22696" s="171" t="s">
        <v>221</v>
      </c>
      <c r="D22696" s="171" t="s">
        <v>80</v>
      </c>
      <c r="E22696" s="11">
        <v>45536</v>
      </c>
      <c r="F22696">
        <v>0</v>
      </c>
      <c r="G22696">
        <v>0</v>
      </c>
      <c r="I22696">
        <v>0</v>
      </c>
      <c r="J22696">
        <v>0</v>
      </c>
      <c r="L22696">
        <v>0</v>
      </c>
      <c r="N22696">
        <v>0</v>
      </c>
      <c r="P22696">
        <v>0</v>
      </c>
      <c r="Q22696">
        <v>0</v>
      </c>
      <c r="S22696">
        <v>0</v>
      </c>
    </row>
    <row r="22697" spans="1:19" x14ac:dyDescent="0.3">
      <c r="A22697" t="str">
        <f t="shared" si="17"/>
        <v>Wayne PlaceAll FFSep-24</v>
      </c>
      <c r="B22697" s="171" t="s">
        <v>45615</v>
      </c>
      <c r="C22697" s="171" t="s">
        <v>8233</v>
      </c>
      <c r="D22697" s="171" t="s">
        <v>80</v>
      </c>
      <c r="E22697" s="11">
        <v>45536</v>
      </c>
      <c r="F22697">
        <v>2</v>
      </c>
      <c r="G22697">
        <v>3</v>
      </c>
      <c r="I22697">
        <v>18</v>
      </c>
      <c r="J22697">
        <v>22</v>
      </c>
      <c r="L22697">
        <v>33</v>
      </c>
      <c r="N22697">
        <v>18</v>
      </c>
      <c r="P22697">
        <v>0</v>
      </c>
      <c r="Q22697">
        <v>0</v>
      </c>
      <c r="S22697">
        <v>0</v>
      </c>
    </row>
    <row r="22698" spans="1:19" x14ac:dyDescent="0.3">
      <c r="A22698" t="str">
        <f t="shared" si="17"/>
        <v>Youth VillagesAll FFSep-24</v>
      </c>
      <c r="B22698" s="171" t="s">
        <v>45616</v>
      </c>
      <c r="C22698" s="171" t="s">
        <v>233</v>
      </c>
      <c r="D22698" s="171" t="s">
        <v>80</v>
      </c>
      <c r="E22698" s="11">
        <v>45536</v>
      </c>
      <c r="F22698">
        <v>0</v>
      </c>
      <c r="G22698">
        <v>0</v>
      </c>
      <c r="I22698">
        <v>0</v>
      </c>
      <c r="J22698">
        <v>0</v>
      </c>
      <c r="L22698">
        <v>0</v>
      </c>
      <c r="N22698">
        <v>0</v>
      </c>
      <c r="P22698">
        <v>0</v>
      </c>
      <c r="Q22698">
        <v>0</v>
      </c>
      <c r="S22698">
        <v>0</v>
      </c>
    </row>
    <row r="22699" spans="1:19" x14ac:dyDescent="0.3">
      <c r="A22699" t="str">
        <f t="shared" si="17"/>
        <v>Medstar GeorgetownAll DCSSep-24</v>
      </c>
      <c r="B22699" s="171" t="s">
        <v>45617</v>
      </c>
      <c r="C22699" s="171" t="s">
        <v>24508</v>
      </c>
      <c r="D22699" s="171" t="s">
        <v>15341</v>
      </c>
      <c r="E22699" s="11">
        <v>45536</v>
      </c>
      <c r="F22699">
        <v>0</v>
      </c>
      <c r="G22699">
        <v>0</v>
      </c>
      <c r="I22699">
        <v>0</v>
      </c>
      <c r="J22699">
        <v>0</v>
      </c>
      <c r="L22699">
        <v>0</v>
      </c>
      <c r="N22699">
        <v>0</v>
      </c>
      <c r="P22699">
        <v>0</v>
      </c>
      <c r="Q22699">
        <v>0</v>
      </c>
      <c r="S22699">
        <v>0</v>
      </c>
    </row>
    <row r="22700" spans="1:19" x14ac:dyDescent="0.3">
      <c r="A22700" t="str">
        <f t="shared" si="17"/>
        <v>Medstar GeorgetownAll FFSep-24</v>
      </c>
      <c r="B22700" s="171" t="s">
        <v>45618</v>
      </c>
      <c r="C22700" s="171" t="s">
        <v>24508</v>
      </c>
      <c r="D22700" s="171" t="s">
        <v>80</v>
      </c>
      <c r="E22700" s="11">
        <v>45536</v>
      </c>
      <c r="F22700">
        <v>0</v>
      </c>
      <c r="G22700">
        <v>0</v>
      </c>
      <c r="I22700">
        <v>0</v>
      </c>
      <c r="J22700">
        <v>0</v>
      </c>
      <c r="L22700">
        <v>0</v>
      </c>
      <c r="N22700">
        <v>0</v>
      </c>
      <c r="P22700">
        <v>0</v>
      </c>
      <c r="Q22700">
        <v>0</v>
      </c>
      <c r="S22700">
        <v>0</v>
      </c>
    </row>
    <row r="22701" spans="1:19" x14ac:dyDescent="0.3">
      <c r="A22701" t="str">
        <f t="shared" si="17"/>
        <v>Community ConnectionsAll FFSep-24</v>
      </c>
      <c r="B22701" s="171" t="s">
        <v>45619</v>
      </c>
      <c r="C22701" s="171" t="s">
        <v>107</v>
      </c>
      <c r="D22701" s="171" t="s">
        <v>80</v>
      </c>
      <c r="E22701" s="11">
        <v>45536</v>
      </c>
      <c r="F22701">
        <v>0</v>
      </c>
      <c r="G22701">
        <v>0</v>
      </c>
      <c r="I22701">
        <v>0</v>
      </c>
      <c r="J22701">
        <v>0</v>
      </c>
      <c r="L22701">
        <v>0</v>
      </c>
      <c r="N22701">
        <v>0</v>
      </c>
      <c r="P22701">
        <v>0</v>
      </c>
      <c r="Q22701">
        <v>0</v>
      </c>
      <c r="S22701">
        <v>0</v>
      </c>
    </row>
    <row r="22702" spans="1:19" x14ac:dyDescent="0.3">
      <c r="A22702" t="str">
        <f t="shared" si="17"/>
        <v>Community ConnectionsAll DCSSep-24</v>
      </c>
      <c r="B22702" s="171" t="s">
        <v>45620</v>
      </c>
      <c r="C22702" s="171" t="s">
        <v>107</v>
      </c>
      <c r="D22702" s="171" t="s">
        <v>15341</v>
      </c>
      <c r="E22702" s="11">
        <v>45536</v>
      </c>
      <c r="F22702">
        <v>0</v>
      </c>
      <c r="G22702">
        <v>0</v>
      </c>
      <c r="I22702">
        <v>0</v>
      </c>
      <c r="J22702">
        <v>0</v>
      </c>
      <c r="L22702">
        <v>0</v>
      </c>
      <c r="N22702">
        <v>0</v>
      </c>
      <c r="P22702">
        <v>0</v>
      </c>
      <c r="Q22702">
        <v>0</v>
      </c>
      <c r="S22702">
        <v>0</v>
      </c>
    </row>
    <row r="22703" spans="1:19" x14ac:dyDescent="0.3">
      <c r="A22703" t="str">
        <f t="shared" si="17"/>
        <v>Marys CenterAll FFSep-24</v>
      </c>
      <c r="B22703" s="171" t="s">
        <v>45621</v>
      </c>
      <c r="C22703" s="171" t="s">
        <v>173</v>
      </c>
      <c r="D22703" s="171" t="s">
        <v>80</v>
      </c>
      <c r="E22703" s="11">
        <v>45536</v>
      </c>
      <c r="F22703">
        <v>5</v>
      </c>
      <c r="G22703">
        <v>5</v>
      </c>
      <c r="I22703">
        <v>7</v>
      </c>
      <c r="J22703">
        <v>29</v>
      </c>
      <c r="L22703">
        <v>28</v>
      </c>
      <c r="N22703">
        <v>7</v>
      </c>
      <c r="P22703">
        <v>1</v>
      </c>
      <c r="Q22703">
        <v>5</v>
      </c>
      <c r="S22703">
        <v>0</v>
      </c>
    </row>
    <row r="22704" spans="1:19" x14ac:dyDescent="0.3">
      <c r="A22704" t="str">
        <f t="shared" si="17"/>
        <v>Marys CenterAll DCSSep-24</v>
      </c>
      <c r="B22704" s="171" t="s">
        <v>45622</v>
      </c>
      <c r="C22704" s="171" t="s">
        <v>173</v>
      </c>
      <c r="D22704" s="171" t="s">
        <v>15341</v>
      </c>
      <c r="E22704" s="11">
        <v>45536</v>
      </c>
      <c r="F22704">
        <v>0</v>
      </c>
      <c r="G22704">
        <v>0</v>
      </c>
      <c r="I22704">
        <v>0</v>
      </c>
      <c r="J22704">
        <v>0</v>
      </c>
      <c r="L22704">
        <v>0</v>
      </c>
      <c r="N22704">
        <v>0</v>
      </c>
      <c r="P22704">
        <v>0</v>
      </c>
      <c r="Q22704">
        <v>0</v>
      </c>
      <c r="S22704">
        <v>0</v>
      </c>
    </row>
    <row r="22705" spans="1:19" x14ac:dyDescent="0.3">
      <c r="A22705" t="str">
        <f t="shared" si="17"/>
        <v>PIECEAll FFSep-24</v>
      </c>
      <c r="B22705" s="171" t="s">
        <v>45623</v>
      </c>
      <c r="C22705" s="171" t="s">
        <v>200</v>
      </c>
      <c r="D22705" s="171" t="s">
        <v>80</v>
      </c>
      <c r="E22705" s="11">
        <v>45536</v>
      </c>
      <c r="F22705">
        <v>6</v>
      </c>
      <c r="G22705">
        <v>6.5</v>
      </c>
      <c r="I22705">
        <v>7</v>
      </c>
      <c r="J22705">
        <v>29</v>
      </c>
      <c r="L22705">
        <v>30</v>
      </c>
      <c r="N22705">
        <v>5</v>
      </c>
      <c r="P22705">
        <v>0</v>
      </c>
      <c r="Q22705">
        <v>0</v>
      </c>
      <c r="S22705">
        <v>2</v>
      </c>
    </row>
    <row r="22706" spans="1:19" x14ac:dyDescent="0.3">
      <c r="A22706" t="str">
        <f t="shared" si="17"/>
        <v>PIECEAll DCSSep-24</v>
      </c>
      <c r="B22706" s="171" t="s">
        <v>45624</v>
      </c>
      <c r="C22706" s="171" t="s">
        <v>200</v>
      </c>
      <c r="D22706" s="171" t="s">
        <v>15341</v>
      </c>
      <c r="E22706" s="11">
        <v>45536</v>
      </c>
      <c r="F22706">
        <v>0</v>
      </c>
      <c r="G22706">
        <v>0</v>
      </c>
      <c r="I22706">
        <v>0</v>
      </c>
      <c r="J22706">
        <v>0</v>
      </c>
      <c r="L22706">
        <v>0</v>
      </c>
      <c r="N22706">
        <v>0</v>
      </c>
      <c r="P22706">
        <v>0</v>
      </c>
      <c r="Q22706">
        <v>0</v>
      </c>
      <c r="S22706">
        <v>0</v>
      </c>
    </row>
    <row r="22707" spans="1:19" x14ac:dyDescent="0.3">
      <c r="A22707" t="str">
        <f t="shared" si="17"/>
        <v>Adoptions TogetherAll CombinedSep-24</v>
      </c>
      <c r="B22707" s="171" t="s">
        <v>45625</v>
      </c>
      <c r="C22707" s="171" t="s">
        <v>73</v>
      </c>
      <c r="D22707" s="171" t="s">
        <v>4</v>
      </c>
      <c r="E22707" s="11">
        <v>45536</v>
      </c>
      <c r="F22707">
        <v>0</v>
      </c>
      <c r="G22707">
        <v>0</v>
      </c>
      <c r="I22707">
        <v>0</v>
      </c>
      <c r="J22707">
        <v>0</v>
      </c>
      <c r="L22707">
        <v>0</v>
      </c>
      <c r="N22707">
        <v>0</v>
      </c>
      <c r="P22707">
        <v>0</v>
      </c>
      <c r="Q22707">
        <v>0</v>
      </c>
      <c r="S22707">
        <v>0</v>
      </c>
    </row>
    <row r="22708" spans="1:19" x14ac:dyDescent="0.3">
      <c r="A22708" t="str">
        <f t="shared" si="17"/>
        <v>Better MorningsAll CombinedSep-24</v>
      </c>
      <c r="B22708" s="171" t="s">
        <v>45626</v>
      </c>
      <c r="C22708" s="171" t="s">
        <v>24891</v>
      </c>
      <c r="D22708" s="171" t="s">
        <v>4</v>
      </c>
      <c r="E22708" s="11">
        <v>45536</v>
      </c>
      <c r="F22708">
        <v>7</v>
      </c>
      <c r="G22708">
        <v>10</v>
      </c>
      <c r="I22708">
        <v>21</v>
      </c>
      <c r="J22708">
        <v>34</v>
      </c>
      <c r="L22708">
        <v>45</v>
      </c>
      <c r="N22708">
        <v>15</v>
      </c>
      <c r="P22708">
        <v>5</v>
      </c>
      <c r="Q22708">
        <v>7</v>
      </c>
      <c r="S22708">
        <v>6</v>
      </c>
    </row>
    <row r="22709" spans="1:19" x14ac:dyDescent="0.3">
      <c r="A22709" t="str">
        <f t="shared" si="17"/>
        <v>CatholicAll CombinedSep-24</v>
      </c>
      <c r="B22709" s="171" t="s">
        <v>45627</v>
      </c>
      <c r="C22709" s="171" t="s">
        <v>18229</v>
      </c>
      <c r="D22709" s="171" t="s">
        <v>4</v>
      </c>
      <c r="E22709" s="11">
        <v>45536</v>
      </c>
      <c r="F22709">
        <v>0</v>
      </c>
      <c r="G22709">
        <v>0</v>
      </c>
      <c r="I22709">
        <v>0</v>
      </c>
      <c r="J22709">
        <v>0</v>
      </c>
      <c r="L22709">
        <v>0</v>
      </c>
      <c r="N22709">
        <v>0</v>
      </c>
      <c r="P22709">
        <v>0</v>
      </c>
      <c r="Q22709">
        <v>0</v>
      </c>
      <c r="S22709">
        <v>0</v>
      </c>
    </row>
    <row r="22710" spans="1:19" x14ac:dyDescent="0.3">
      <c r="A22710" t="str">
        <f t="shared" si="17"/>
        <v>Community ConnectionsAll CombinedSep-24</v>
      </c>
      <c r="B22710" s="171" t="s">
        <v>45628</v>
      </c>
      <c r="C22710" s="171" t="s">
        <v>107</v>
      </c>
      <c r="D22710" s="171" t="s">
        <v>4</v>
      </c>
      <c r="E22710" s="11">
        <v>45536</v>
      </c>
      <c r="F22710">
        <v>0</v>
      </c>
      <c r="G22710">
        <v>0</v>
      </c>
      <c r="I22710">
        <v>0</v>
      </c>
      <c r="J22710">
        <v>0</v>
      </c>
      <c r="L22710">
        <v>0</v>
      </c>
      <c r="N22710">
        <v>0</v>
      </c>
      <c r="P22710">
        <v>0</v>
      </c>
      <c r="Q22710">
        <v>0</v>
      </c>
      <c r="S22710">
        <v>0</v>
      </c>
    </row>
    <row r="22711" spans="1:19" x14ac:dyDescent="0.3">
      <c r="A22711" t="str">
        <f t="shared" si="17"/>
        <v>ContemporaryAll CombinedSep-24</v>
      </c>
      <c r="B22711" s="171" t="s">
        <v>45629</v>
      </c>
      <c r="C22711" s="171" t="s">
        <v>9887</v>
      </c>
      <c r="D22711" s="171" t="s">
        <v>4</v>
      </c>
      <c r="E22711" s="11">
        <v>45536</v>
      </c>
      <c r="F22711">
        <v>0</v>
      </c>
      <c r="G22711">
        <v>0</v>
      </c>
      <c r="I22711">
        <v>0</v>
      </c>
      <c r="J22711">
        <v>0</v>
      </c>
      <c r="L22711">
        <v>0</v>
      </c>
      <c r="N22711">
        <v>0</v>
      </c>
      <c r="P22711">
        <v>0</v>
      </c>
      <c r="Q22711">
        <v>0</v>
      </c>
      <c r="S22711">
        <v>0</v>
      </c>
    </row>
    <row r="22712" spans="1:19" x14ac:dyDescent="0.3">
      <c r="A22712" t="str">
        <f t="shared" si="17"/>
        <v>DBH Family SupportAll CombinedSep-24</v>
      </c>
      <c r="B22712" s="171" t="s">
        <v>45630</v>
      </c>
      <c r="C22712" s="171" t="s">
        <v>35078</v>
      </c>
      <c r="D22712" s="171" t="s">
        <v>4</v>
      </c>
      <c r="E22712" s="11">
        <v>45536</v>
      </c>
      <c r="F22712">
        <v>0</v>
      </c>
      <c r="G22712">
        <v>0</v>
      </c>
      <c r="I22712">
        <v>0</v>
      </c>
      <c r="J22712">
        <v>0</v>
      </c>
      <c r="L22712">
        <v>0</v>
      </c>
      <c r="N22712">
        <v>0</v>
      </c>
      <c r="P22712">
        <v>0</v>
      </c>
      <c r="Q22712">
        <v>0</v>
      </c>
      <c r="S22712">
        <v>0</v>
      </c>
    </row>
    <row r="22713" spans="1:19" x14ac:dyDescent="0.3">
      <c r="A22713" t="str">
        <f t="shared" si="17"/>
        <v>Family MattersAll CombinedSep-24</v>
      </c>
      <c r="B22713" s="171" t="s">
        <v>45631</v>
      </c>
      <c r="C22713" s="171" t="s">
        <v>11260</v>
      </c>
      <c r="D22713" s="171" t="s">
        <v>4</v>
      </c>
      <c r="E22713" s="11">
        <v>45536</v>
      </c>
      <c r="F22713">
        <v>0</v>
      </c>
      <c r="G22713">
        <v>0</v>
      </c>
      <c r="I22713">
        <v>0</v>
      </c>
      <c r="J22713">
        <v>0</v>
      </c>
      <c r="L22713">
        <v>0</v>
      </c>
      <c r="N22713">
        <v>0</v>
      </c>
      <c r="P22713">
        <v>0</v>
      </c>
      <c r="Q22713">
        <v>0</v>
      </c>
      <c r="S22713">
        <v>0</v>
      </c>
    </row>
    <row r="22714" spans="1:19" x14ac:dyDescent="0.3">
      <c r="A22714" t="str">
        <f t="shared" si="17"/>
        <v>Federal CityAll CombinedSep-24</v>
      </c>
      <c r="B22714" s="171" t="s">
        <v>45632</v>
      </c>
      <c r="C22714" s="171" t="s">
        <v>122</v>
      </c>
      <c r="D22714" s="171" t="s">
        <v>4</v>
      </c>
      <c r="E22714" s="11">
        <v>45536</v>
      </c>
      <c r="F22714">
        <v>0</v>
      </c>
      <c r="G22714">
        <v>0</v>
      </c>
      <c r="I22714">
        <v>0</v>
      </c>
      <c r="J22714">
        <v>0</v>
      </c>
      <c r="L22714">
        <v>0</v>
      </c>
      <c r="N22714">
        <v>0</v>
      </c>
      <c r="P22714">
        <v>0</v>
      </c>
      <c r="Q22714">
        <v>0</v>
      </c>
      <c r="S22714">
        <v>0</v>
      </c>
    </row>
    <row r="22715" spans="1:19" x14ac:dyDescent="0.3">
      <c r="A22715" t="str">
        <f t="shared" si="17"/>
        <v>First Home CareAll CombinedSep-24</v>
      </c>
      <c r="B22715" s="171" t="s">
        <v>45633</v>
      </c>
      <c r="C22715" s="171" t="s">
        <v>125</v>
      </c>
      <c r="D22715" s="171" t="s">
        <v>4</v>
      </c>
      <c r="E22715" s="11">
        <v>45536</v>
      </c>
      <c r="F22715">
        <v>0</v>
      </c>
      <c r="G22715">
        <v>0</v>
      </c>
      <c r="I22715">
        <v>0</v>
      </c>
      <c r="J22715">
        <v>0</v>
      </c>
      <c r="L22715">
        <v>0</v>
      </c>
      <c r="N22715">
        <v>0</v>
      </c>
      <c r="P22715">
        <v>0</v>
      </c>
      <c r="Q22715">
        <v>0</v>
      </c>
      <c r="S22715">
        <v>0</v>
      </c>
    </row>
    <row r="22716" spans="1:19" x14ac:dyDescent="0.3">
      <c r="A22716" t="str">
        <f t="shared" si="17"/>
        <v>Foundations for Home &amp; CommunityAll CombinedSep-24</v>
      </c>
      <c r="B22716" s="171" t="s">
        <v>45634</v>
      </c>
      <c r="C22716" s="171" t="s">
        <v>14899</v>
      </c>
      <c r="D22716" s="171" t="s">
        <v>4</v>
      </c>
      <c r="E22716" s="11">
        <v>45536</v>
      </c>
      <c r="F22716">
        <v>0</v>
      </c>
      <c r="G22716">
        <v>0</v>
      </c>
      <c r="I22716">
        <v>0</v>
      </c>
      <c r="J22716">
        <v>0</v>
      </c>
      <c r="L22716">
        <v>0</v>
      </c>
      <c r="N22716">
        <v>0</v>
      </c>
      <c r="P22716">
        <v>0</v>
      </c>
      <c r="Q22716">
        <v>0</v>
      </c>
      <c r="S22716">
        <v>0</v>
      </c>
    </row>
    <row r="22717" spans="1:19" x14ac:dyDescent="0.3">
      <c r="A22717" t="str">
        <f t="shared" si="17"/>
        <v>FPSAll CombinedSep-24</v>
      </c>
      <c r="B22717" s="171" t="s">
        <v>45635</v>
      </c>
      <c r="C22717" s="171" t="s">
        <v>137</v>
      </c>
      <c r="D22717" s="171" t="s">
        <v>4</v>
      </c>
      <c r="E22717" s="11">
        <v>45536</v>
      </c>
      <c r="F22717">
        <v>0</v>
      </c>
      <c r="G22717">
        <v>0</v>
      </c>
      <c r="I22717">
        <v>0</v>
      </c>
      <c r="J22717">
        <v>0</v>
      </c>
      <c r="L22717">
        <v>0</v>
      </c>
      <c r="N22717">
        <v>0</v>
      </c>
      <c r="P22717">
        <v>0</v>
      </c>
      <c r="Q22717">
        <v>0</v>
      </c>
      <c r="S22717">
        <v>0</v>
      </c>
    </row>
    <row r="22718" spans="1:19" x14ac:dyDescent="0.3">
      <c r="A22718" t="str">
        <f t="shared" si="17"/>
        <v>Green DoorAll CombinedSep-24</v>
      </c>
      <c r="B22718" s="171" t="s">
        <v>45636</v>
      </c>
      <c r="C22718" s="171" t="s">
        <v>8615</v>
      </c>
      <c r="D22718" s="171" t="s">
        <v>4</v>
      </c>
      <c r="E22718" s="11">
        <v>45536</v>
      </c>
      <c r="F22718">
        <v>0</v>
      </c>
      <c r="G22718">
        <v>0</v>
      </c>
      <c r="I22718">
        <v>0</v>
      </c>
      <c r="J22718">
        <v>0</v>
      </c>
      <c r="L22718">
        <v>0</v>
      </c>
      <c r="N22718">
        <v>0</v>
      </c>
      <c r="P22718">
        <v>0</v>
      </c>
      <c r="Q22718">
        <v>0</v>
      </c>
      <c r="S22718">
        <v>0</v>
      </c>
    </row>
    <row r="22719" spans="1:19" x14ac:dyDescent="0.3">
      <c r="A22719" t="str">
        <f t="shared" si="17"/>
        <v>Healthy FuturesAll CombinedSep-24</v>
      </c>
      <c r="B22719" s="171" t="s">
        <v>45637</v>
      </c>
      <c r="C22719" s="171" t="s">
        <v>35025</v>
      </c>
      <c r="D22719" s="171" t="s">
        <v>4</v>
      </c>
      <c r="E22719" s="11">
        <v>45536</v>
      </c>
      <c r="F22719">
        <v>0</v>
      </c>
      <c r="G22719">
        <v>0</v>
      </c>
      <c r="I22719">
        <v>0</v>
      </c>
      <c r="J22719">
        <v>0</v>
      </c>
      <c r="L22719">
        <v>0</v>
      </c>
      <c r="N22719">
        <v>0</v>
      </c>
      <c r="P22719">
        <v>0</v>
      </c>
      <c r="Q22719">
        <v>0</v>
      </c>
      <c r="S22719">
        <v>0</v>
      </c>
    </row>
    <row r="22720" spans="1:19" x14ac:dyDescent="0.3">
      <c r="A22720" t="str">
        <f t="shared" si="17"/>
        <v>HillcrestAll CombinedSep-24</v>
      </c>
      <c r="B22720" s="171" t="s">
        <v>45638</v>
      </c>
      <c r="C22720" s="171" t="s">
        <v>146</v>
      </c>
      <c r="D22720" s="171" t="s">
        <v>4</v>
      </c>
      <c r="E22720" s="11">
        <v>45536</v>
      </c>
      <c r="F22720">
        <v>6.5</v>
      </c>
      <c r="G22720">
        <v>11</v>
      </c>
      <c r="I22720">
        <v>29</v>
      </c>
      <c r="J22720">
        <v>33</v>
      </c>
      <c r="L22720">
        <v>58</v>
      </c>
      <c r="N22720">
        <v>27</v>
      </c>
      <c r="P22720">
        <v>1</v>
      </c>
      <c r="Q22720">
        <v>2</v>
      </c>
      <c r="S22720">
        <v>2</v>
      </c>
    </row>
    <row r="22721" spans="1:19" x14ac:dyDescent="0.3">
      <c r="A22721" t="str">
        <f t="shared" si="17"/>
        <v>LAYCAll CombinedSep-24</v>
      </c>
      <c r="B22721" s="171" t="s">
        <v>45639</v>
      </c>
      <c r="C22721" s="171" t="s">
        <v>161</v>
      </c>
      <c r="D22721" s="171" t="s">
        <v>4</v>
      </c>
      <c r="E22721" s="11">
        <v>45536</v>
      </c>
      <c r="F22721">
        <v>2</v>
      </c>
      <c r="G22721">
        <v>4</v>
      </c>
      <c r="I22721">
        <v>3</v>
      </c>
      <c r="J22721">
        <v>12</v>
      </c>
      <c r="L22721">
        <v>24</v>
      </c>
      <c r="N22721">
        <v>2</v>
      </c>
      <c r="P22721">
        <v>2</v>
      </c>
      <c r="Q22721">
        <v>3</v>
      </c>
      <c r="S22721">
        <v>1</v>
      </c>
    </row>
    <row r="22722" spans="1:19" x14ac:dyDescent="0.3">
      <c r="A22722" t="str">
        <f t="shared" si="17"/>
        <v>LCSAll CombinedSep-24</v>
      </c>
      <c r="B22722" s="171" t="s">
        <v>45640</v>
      </c>
      <c r="C22722" s="171" t="s">
        <v>18252</v>
      </c>
      <c r="D22722" s="171" t="s">
        <v>4</v>
      </c>
      <c r="E22722" s="11">
        <v>45536</v>
      </c>
      <c r="F22722">
        <v>0</v>
      </c>
      <c r="G22722">
        <v>0</v>
      </c>
      <c r="I22722">
        <v>0</v>
      </c>
      <c r="J22722">
        <v>0</v>
      </c>
      <c r="L22722">
        <v>0</v>
      </c>
      <c r="N22722">
        <v>0</v>
      </c>
      <c r="P22722">
        <v>0</v>
      </c>
      <c r="Q22722">
        <v>0</v>
      </c>
      <c r="S22722">
        <v>0</v>
      </c>
    </row>
    <row r="22723" spans="1:19" x14ac:dyDescent="0.3">
      <c r="A22723" t="str">
        <f t="shared" si="17"/>
        <v>LESAll CombinedSep-24</v>
      </c>
      <c r="B22723" s="171" t="s">
        <v>45641</v>
      </c>
      <c r="C22723" s="171" t="s">
        <v>167</v>
      </c>
      <c r="D22723" s="171" t="s">
        <v>4</v>
      </c>
      <c r="E22723" s="11">
        <v>45536</v>
      </c>
      <c r="F22723">
        <v>2.5</v>
      </c>
      <c r="G22723">
        <v>4.5</v>
      </c>
      <c r="I22723">
        <v>12</v>
      </c>
      <c r="J22723">
        <v>35</v>
      </c>
      <c r="L22723">
        <v>53</v>
      </c>
      <c r="N22723">
        <v>12</v>
      </c>
      <c r="P22723">
        <v>0</v>
      </c>
      <c r="Q22723">
        <v>0</v>
      </c>
      <c r="S22723">
        <v>0</v>
      </c>
    </row>
    <row r="22724" spans="1:19" x14ac:dyDescent="0.3">
      <c r="A22724" t="str">
        <f t="shared" si="17"/>
        <v>Marys CenterAll CombinedSep-24</v>
      </c>
      <c r="B22724" s="171" t="s">
        <v>45642</v>
      </c>
      <c r="C22724" s="171" t="s">
        <v>173</v>
      </c>
      <c r="D22724" s="171" t="s">
        <v>4</v>
      </c>
      <c r="E22724" s="11">
        <v>45536</v>
      </c>
      <c r="F22724">
        <v>5</v>
      </c>
      <c r="G22724">
        <v>5</v>
      </c>
      <c r="I22724">
        <v>7</v>
      </c>
      <c r="J22724">
        <v>29</v>
      </c>
      <c r="L22724">
        <v>28</v>
      </c>
      <c r="N22724">
        <v>7</v>
      </c>
      <c r="P22724">
        <v>1</v>
      </c>
      <c r="Q22724">
        <v>5</v>
      </c>
      <c r="S22724">
        <v>0</v>
      </c>
    </row>
    <row r="22725" spans="1:19" x14ac:dyDescent="0.3">
      <c r="A22725" t="str">
        <f t="shared" si="17"/>
        <v>MBI HSAll CombinedSep-24</v>
      </c>
      <c r="B22725" s="171" t="s">
        <v>45643</v>
      </c>
      <c r="C22725" s="171" t="s">
        <v>179</v>
      </c>
      <c r="D22725" s="171" t="s">
        <v>4</v>
      </c>
      <c r="E22725" s="11">
        <v>45536</v>
      </c>
      <c r="F22725">
        <v>12</v>
      </c>
      <c r="G22725">
        <v>16</v>
      </c>
      <c r="I22725">
        <v>53</v>
      </c>
      <c r="J22725">
        <v>109</v>
      </c>
      <c r="L22725">
        <v>148</v>
      </c>
      <c r="N22725">
        <v>51</v>
      </c>
      <c r="P22725">
        <v>2</v>
      </c>
      <c r="Q22725">
        <v>2</v>
      </c>
      <c r="S22725">
        <v>2</v>
      </c>
    </row>
    <row r="22726" spans="1:19" x14ac:dyDescent="0.3">
      <c r="A22726" t="str">
        <f t="shared" si="17"/>
        <v>MD Family ResourcesAll CombinedSep-24</v>
      </c>
      <c r="B22726" s="171" t="s">
        <v>45644</v>
      </c>
      <c r="C22726" s="171" t="s">
        <v>185</v>
      </c>
      <c r="D22726" s="171" t="s">
        <v>4</v>
      </c>
      <c r="E22726" s="11">
        <v>45536</v>
      </c>
      <c r="F22726">
        <v>1.5</v>
      </c>
      <c r="G22726">
        <v>8</v>
      </c>
      <c r="I22726">
        <v>5</v>
      </c>
      <c r="J22726">
        <v>8</v>
      </c>
      <c r="L22726">
        <v>40</v>
      </c>
      <c r="N22726">
        <v>5</v>
      </c>
      <c r="P22726">
        <v>0</v>
      </c>
      <c r="Q22726">
        <v>0</v>
      </c>
      <c r="S22726">
        <v>0</v>
      </c>
    </row>
    <row r="22727" spans="1:19" x14ac:dyDescent="0.3">
      <c r="A22727" t="str">
        <f t="shared" si="17"/>
        <v>Medstar GeorgetownAll CombinedSep-24</v>
      </c>
      <c r="B22727" s="171" t="s">
        <v>45645</v>
      </c>
      <c r="C22727" s="171" t="s">
        <v>24508</v>
      </c>
      <c r="D22727" s="171" t="s">
        <v>4</v>
      </c>
      <c r="E22727" s="11">
        <v>45536</v>
      </c>
      <c r="F22727">
        <v>0</v>
      </c>
      <c r="G22727">
        <v>0</v>
      </c>
      <c r="I22727">
        <v>0</v>
      </c>
      <c r="J22727">
        <v>0</v>
      </c>
      <c r="L22727">
        <v>0</v>
      </c>
      <c r="N22727">
        <v>0</v>
      </c>
      <c r="P22727">
        <v>0</v>
      </c>
      <c r="Q22727">
        <v>0</v>
      </c>
      <c r="S22727">
        <v>0</v>
      </c>
    </row>
    <row r="22728" spans="1:19" x14ac:dyDescent="0.3">
      <c r="A22728" t="str">
        <f t="shared" si="17"/>
        <v>PASSAll CombinedSep-24</v>
      </c>
      <c r="B22728" s="171" t="s">
        <v>45646</v>
      </c>
      <c r="C22728" s="171" t="s">
        <v>191</v>
      </c>
      <c r="D22728" s="171" t="s">
        <v>4</v>
      </c>
      <c r="E22728" s="11">
        <v>45536</v>
      </c>
      <c r="F22728">
        <v>10</v>
      </c>
      <c r="G22728">
        <v>13</v>
      </c>
      <c r="I22728">
        <v>78</v>
      </c>
      <c r="J22728">
        <v>92</v>
      </c>
      <c r="L22728">
        <v>107</v>
      </c>
      <c r="N22728">
        <v>72</v>
      </c>
      <c r="P22728">
        <v>13</v>
      </c>
      <c r="Q22728">
        <v>15</v>
      </c>
      <c r="S22728">
        <v>6</v>
      </c>
    </row>
    <row r="22729" spans="1:19" x14ac:dyDescent="0.3">
      <c r="A22729" t="str">
        <f t="shared" si="17"/>
        <v>PIECEAll CombinedSep-24</v>
      </c>
      <c r="B22729" s="171" t="s">
        <v>45647</v>
      </c>
      <c r="C22729" s="171" t="s">
        <v>200</v>
      </c>
      <c r="D22729" s="171" t="s">
        <v>4</v>
      </c>
      <c r="E22729" s="11">
        <v>45536</v>
      </c>
      <c r="F22729">
        <v>6</v>
      </c>
      <c r="G22729">
        <v>6.5</v>
      </c>
      <c r="I22729">
        <v>7</v>
      </c>
      <c r="J22729">
        <v>29</v>
      </c>
      <c r="L22729">
        <v>30</v>
      </c>
      <c r="N22729">
        <v>5</v>
      </c>
      <c r="P22729">
        <v>0</v>
      </c>
      <c r="Q22729">
        <v>0</v>
      </c>
      <c r="S22729">
        <v>2</v>
      </c>
    </row>
    <row r="22730" spans="1:19" x14ac:dyDescent="0.3">
      <c r="A22730" t="str">
        <f t="shared" si="17"/>
        <v>RiversideAll CombinedSep-24</v>
      </c>
      <c r="B22730" s="171" t="s">
        <v>45648</v>
      </c>
      <c r="C22730" s="171" t="s">
        <v>212</v>
      </c>
      <c r="D22730" s="171" t="s">
        <v>4</v>
      </c>
      <c r="E22730" s="11">
        <v>45536</v>
      </c>
      <c r="F22730">
        <v>0</v>
      </c>
      <c r="G22730">
        <v>0</v>
      </c>
      <c r="I22730">
        <v>0</v>
      </c>
      <c r="J22730">
        <v>0</v>
      </c>
      <c r="L22730">
        <v>0</v>
      </c>
      <c r="N22730">
        <v>0</v>
      </c>
      <c r="P22730">
        <v>0</v>
      </c>
      <c r="Q22730">
        <v>0</v>
      </c>
      <c r="S22730">
        <v>0</v>
      </c>
    </row>
    <row r="22731" spans="1:19" x14ac:dyDescent="0.3">
      <c r="A22731" t="str">
        <f t="shared" si="17"/>
        <v>TFCCAll CombinedSep-24</v>
      </c>
      <c r="B22731" s="171" t="s">
        <v>45649</v>
      </c>
      <c r="C22731" s="171" t="s">
        <v>215</v>
      </c>
      <c r="D22731" s="171" t="s">
        <v>4</v>
      </c>
      <c r="E22731" s="11">
        <v>45536</v>
      </c>
      <c r="F22731">
        <v>0</v>
      </c>
      <c r="G22731">
        <v>0</v>
      </c>
      <c r="I22731">
        <v>0</v>
      </c>
      <c r="J22731">
        <v>0</v>
      </c>
      <c r="L22731">
        <v>0</v>
      </c>
      <c r="N22731">
        <v>0</v>
      </c>
      <c r="P22731">
        <v>0</v>
      </c>
      <c r="Q22731">
        <v>0</v>
      </c>
      <c r="S22731">
        <v>0</v>
      </c>
    </row>
    <row r="22732" spans="1:19" x14ac:dyDescent="0.3">
      <c r="A22732" t="str">
        <f t="shared" si="17"/>
        <v>UmbrellaAll CombinedSep-24</v>
      </c>
      <c r="B22732" s="171" t="s">
        <v>45650</v>
      </c>
      <c r="C22732" s="171" t="s">
        <v>35119</v>
      </c>
      <c r="D22732" s="171" t="s">
        <v>4</v>
      </c>
      <c r="E22732" s="11">
        <v>45536</v>
      </c>
      <c r="F22732">
        <v>6</v>
      </c>
      <c r="G22732">
        <v>4</v>
      </c>
      <c r="I22732">
        <v>35</v>
      </c>
      <c r="J22732">
        <v>66</v>
      </c>
      <c r="L22732">
        <v>44</v>
      </c>
      <c r="N22732">
        <v>35</v>
      </c>
      <c r="P22732">
        <v>0</v>
      </c>
      <c r="Q22732">
        <v>2</v>
      </c>
      <c r="S22732">
        <v>0</v>
      </c>
    </row>
    <row r="22733" spans="1:19" x14ac:dyDescent="0.3">
      <c r="A22733" t="str">
        <f t="shared" si="17"/>
        <v>UniversalAll CombinedSep-24</v>
      </c>
      <c r="B22733" s="171" t="s">
        <v>45651</v>
      </c>
      <c r="C22733" s="171" t="s">
        <v>221</v>
      </c>
      <c r="D22733" s="171" t="s">
        <v>4</v>
      </c>
      <c r="E22733" s="11">
        <v>45536</v>
      </c>
      <c r="F22733">
        <v>0</v>
      </c>
      <c r="G22733">
        <v>0</v>
      </c>
      <c r="I22733">
        <v>0</v>
      </c>
      <c r="J22733">
        <v>0</v>
      </c>
      <c r="L22733">
        <v>0</v>
      </c>
      <c r="N22733">
        <v>0</v>
      </c>
      <c r="P22733">
        <v>0</v>
      </c>
      <c r="Q22733">
        <v>0</v>
      </c>
      <c r="S22733">
        <v>0</v>
      </c>
    </row>
    <row r="22734" spans="1:19" x14ac:dyDescent="0.3">
      <c r="A22734" t="str">
        <f t="shared" si="17"/>
        <v>Wayne PlaceAll CombinedSep-24</v>
      </c>
      <c r="B22734" s="171" t="s">
        <v>45652</v>
      </c>
      <c r="C22734" s="171" t="s">
        <v>8233</v>
      </c>
      <c r="D22734" s="171" t="s">
        <v>4</v>
      </c>
      <c r="E22734" s="11">
        <v>45536</v>
      </c>
      <c r="F22734">
        <v>2</v>
      </c>
      <c r="G22734">
        <v>3</v>
      </c>
      <c r="I22734">
        <v>18</v>
      </c>
      <c r="J22734">
        <v>22</v>
      </c>
      <c r="L22734">
        <v>33</v>
      </c>
      <c r="N22734">
        <v>18</v>
      </c>
      <c r="P22734">
        <v>0</v>
      </c>
      <c r="Q22734">
        <v>0</v>
      </c>
      <c r="S22734">
        <v>0</v>
      </c>
    </row>
    <row r="22735" spans="1:19" x14ac:dyDescent="0.3">
      <c r="A22735" t="str">
        <f t="shared" si="17"/>
        <v>Youth VillagesAll CombinedSep-24</v>
      </c>
      <c r="B22735" s="171" t="s">
        <v>45653</v>
      </c>
      <c r="C22735" s="171" t="s">
        <v>233</v>
      </c>
      <c r="D22735" s="171" t="s">
        <v>4</v>
      </c>
      <c r="E22735" s="11">
        <v>45536</v>
      </c>
      <c r="F22735">
        <v>0</v>
      </c>
      <c r="G22735">
        <v>0</v>
      </c>
      <c r="I22735">
        <v>0</v>
      </c>
      <c r="J22735">
        <v>0</v>
      </c>
      <c r="L22735">
        <v>0</v>
      </c>
      <c r="N22735">
        <v>0</v>
      </c>
      <c r="P22735">
        <v>0</v>
      </c>
      <c r="Q22735">
        <v>0</v>
      </c>
      <c r="S22735">
        <v>0</v>
      </c>
    </row>
    <row r="22736" spans="1:19" x14ac:dyDescent="0.3">
      <c r="A22736" t="str">
        <f t="shared" ref="A22736:A22769" si="18">C22736&amp;" "&amp;D22736&amp;"Sep-24"</f>
        <v>All ABC ProvidersABC FFSep-24</v>
      </c>
      <c r="B22736" s="171" t="s">
        <v>45654</v>
      </c>
      <c r="C22736" s="171" t="s">
        <v>35128</v>
      </c>
      <c r="D22736" s="171" t="s">
        <v>80</v>
      </c>
      <c r="E22736" s="11">
        <v>45536</v>
      </c>
      <c r="F22736">
        <v>0</v>
      </c>
      <c r="G22736">
        <v>0</v>
      </c>
      <c r="I22736">
        <v>0</v>
      </c>
      <c r="J22736">
        <v>0</v>
      </c>
      <c r="L22736">
        <v>0</v>
      </c>
      <c r="N22736">
        <v>0</v>
      </c>
      <c r="P22736">
        <v>0</v>
      </c>
      <c r="Q22736">
        <v>0</v>
      </c>
      <c r="S22736">
        <v>0</v>
      </c>
    </row>
    <row r="22737" spans="1:19" x14ac:dyDescent="0.3">
      <c r="A22737" t="str">
        <f t="shared" si="18"/>
        <v>All ABC ProvidersABC CombinedSep-24</v>
      </c>
      <c r="B22737" s="171" t="s">
        <v>45655</v>
      </c>
      <c r="C22737" s="171" t="s">
        <v>35128</v>
      </c>
      <c r="D22737" s="171" t="s">
        <v>4</v>
      </c>
      <c r="E22737" s="11">
        <v>45536</v>
      </c>
      <c r="F22737">
        <v>0</v>
      </c>
      <c r="G22737">
        <v>0</v>
      </c>
      <c r="I22737">
        <v>0</v>
      </c>
      <c r="J22737">
        <v>0</v>
      </c>
      <c r="L22737">
        <v>0</v>
      </c>
      <c r="N22737">
        <v>0</v>
      </c>
      <c r="P22737">
        <v>0</v>
      </c>
      <c r="Q22737">
        <v>0</v>
      </c>
      <c r="S22737">
        <v>0</v>
      </c>
    </row>
    <row r="22738" spans="1:19" x14ac:dyDescent="0.3">
      <c r="A22738" t="str">
        <f t="shared" si="18"/>
        <v>All A-CRA ProvidersA-CRA FFSep-24</v>
      </c>
      <c r="B22738" s="171" t="s">
        <v>45656</v>
      </c>
      <c r="C22738" s="171" t="s">
        <v>79</v>
      </c>
      <c r="D22738" s="171" t="s">
        <v>80</v>
      </c>
      <c r="E22738" s="11">
        <v>45536</v>
      </c>
      <c r="F22738">
        <v>0</v>
      </c>
      <c r="G22738">
        <v>0</v>
      </c>
      <c r="I22738">
        <v>0</v>
      </c>
      <c r="J22738">
        <v>0</v>
      </c>
      <c r="L22738">
        <v>0</v>
      </c>
      <c r="N22738">
        <v>0</v>
      </c>
      <c r="P22738">
        <v>0</v>
      </c>
      <c r="Q22738">
        <v>0</v>
      </c>
      <c r="S22738">
        <v>0</v>
      </c>
    </row>
    <row r="22739" spans="1:19" x14ac:dyDescent="0.3">
      <c r="A22739" t="str">
        <f t="shared" si="18"/>
        <v>All A-CRA ProvidersA-CRA CombinedSep-24</v>
      </c>
      <c r="B22739" s="171" t="s">
        <v>45657</v>
      </c>
      <c r="C22739" s="171" t="s">
        <v>79</v>
      </c>
      <c r="D22739" s="171" t="s">
        <v>4</v>
      </c>
      <c r="E22739" s="11">
        <v>45536</v>
      </c>
      <c r="F22739">
        <v>0</v>
      </c>
      <c r="G22739">
        <v>0</v>
      </c>
      <c r="I22739">
        <v>0</v>
      </c>
      <c r="J22739">
        <v>0</v>
      </c>
      <c r="L22739">
        <v>0</v>
      </c>
      <c r="N22739">
        <v>0</v>
      </c>
      <c r="P22739">
        <v>0</v>
      </c>
      <c r="Q22739">
        <v>0</v>
      </c>
      <c r="S22739">
        <v>0</v>
      </c>
    </row>
    <row r="22740" spans="1:19" x14ac:dyDescent="0.3">
      <c r="A22740" t="str">
        <f t="shared" si="18"/>
        <v>All CPP-FV ProvidersCPP-FV FFSep-24</v>
      </c>
      <c r="B22740" s="171" t="s">
        <v>45658</v>
      </c>
      <c r="C22740" s="171" t="s">
        <v>83</v>
      </c>
      <c r="D22740" s="171" t="s">
        <v>80</v>
      </c>
      <c r="E22740" s="11">
        <v>45536</v>
      </c>
      <c r="F22740">
        <v>4.5</v>
      </c>
      <c r="G22740">
        <v>4</v>
      </c>
      <c r="I22740">
        <v>8</v>
      </c>
      <c r="J22740">
        <v>24</v>
      </c>
      <c r="L22740">
        <v>21</v>
      </c>
      <c r="N22740">
        <v>8</v>
      </c>
      <c r="P22740">
        <v>0</v>
      </c>
      <c r="Q22740">
        <v>0</v>
      </c>
      <c r="S22740">
        <v>0</v>
      </c>
    </row>
    <row r="22741" spans="1:19" x14ac:dyDescent="0.3">
      <c r="A22741" t="str">
        <f t="shared" si="18"/>
        <v>All CPP-FV ProvidersCPP-FV DCSSep-24</v>
      </c>
      <c r="B22741" s="171" t="s">
        <v>45659</v>
      </c>
      <c r="C22741" s="171" t="s">
        <v>83</v>
      </c>
      <c r="D22741" s="171" t="s">
        <v>15341</v>
      </c>
      <c r="E22741" s="11">
        <v>45536</v>
      </c>
      <c r="F22741">
        <v>0</v>
      </c>
      <c r="G22741">
        <v>0</v>
      </c>
      <c r="I22741">
        <v>0</v>
      </c>
      <c r="J22741">
        <v>0</v>
      </c>
      <c r="L22741">
        <v>0</v>
      </c>
      <c r="N22741">
        <v>0</v>
      </c>
      <c r="P22741">
        <v>0</v>
      </c>
      <c r="Q22741">
        <v>0</v>
      </c>
      <c r="S22741">
        <v>0</v>
      </c>
    </row>
    <row r="22742" spans="1:19" x14ac:dyDescent="0.3">
      <c r="A22742" t="str">
        <f t="shared" si="18"/>
        <v>All CPP-FV ProvidersCPP-FV CombinedSep-24</v>
      </c>
      <c r="B22742" s="171" t="s">
        <v>45660</v>
      </c>
      <c r="C22742" s="171" t="s">
        <v>83</v>
      </c>
      <c r="D22742" s="171" t="s">
        <v>4</v>
      </c>
      <c r="E22742" s="11">
        <v>45536</v>
      </c>
      <c r="F22742">
        <v>4.5</v>
      </c>
      <c r="G22742">
        <v>4</v>
      </c>
      <c r="I22742">
        <v>8</v>
      </c>
      <c r="J22742">
        <v>24</v>
      </c>
      <c r="L22742">
        <v>21</v>
      </c>
      <c r="N22742">
        <v>8</v>
      </c>
      <c r="P22742">
        <v>0</v>
      </c>
      <c r="Q22742">
        <v>0</v>
      </c>
      <c r="S22742">
        <v>0</v>
      </c>
    </row>
    <row r="22743" spans="1:19" x14ac:dyDescent="0.3">
      <c r="A22743" t="str">
        <f t="shared" si="18"/>
        <v>All FFT ProvidersFFT FFSep-24</v>
      </c>
      <c r="B22743" s="171" t="s">
        <v>45661</v>
      </c>
      <c r="C22743" s="171" t="s">
        <v>86</v>
      </c>
      <c r="D22743" s="171" t="s">
        <v>80</v>
      </c>
      <c r="E22743" s="11">
        <v>45536</v>
      </c>
      <c r="F22743">
        <v>5</v>
      </c>
      <c r="G22743">
        <v>8</v>
      </c>
      <c r="I22743">
        <v>17</v>
      </c>
      <c r="J22743">
        <v>30</v>
      </c>
      <c r="L22743">
        <v>44</v>
      </c>
      <c r="N22743">
        <v>15</v>
      </c>
      <c r="P22743">
        <v>4</v>
      </c>
      <c r="Q22743">
        <v>5</v>
      </c>
      <c r="S22743">
        <v>2</v>
      </c>
    </row>
    <row r="22744" spans="1:19" x14ac:dyDescent="0.3">
      <c r="A22744" t="str">
        <f t="shared" si="18"/>
        <v>All FFT ProvidersFFT CombinedSep-24</v>
      </c>
      <c r="B22744" s="171" t="s">
        <v>45662</v>
      </c>
      <c r="C22744" s="171" t="s">
        <v>86</v>
      </c>
      <c r="D22744" s="171" t="s">
        <v>4</v>
      </c>
      <c r="E22744" s="11">
        <v>45536</v>
      </c>
      <c r="F22744">
        <v>5</v>
      </c>
      <c r="G22744">
        <v>8</v>
      </c>
      <c r="I22744">
        <v>17</v>
      </c>
      <c r="J22744">
        <v>30</v>
      </c>
      <c r="L22744">
        <v>44</v>
      </c>
      <c r="N22744">
        <v>15</v>
      </c>
      <c r="P22744">
        <v>4</v>
      </c>
      <c r="Q22744">
        <v>5</v>
      </c>
      <c r="S22744">
        <v>2</v>
      </c>
    </row>
    <row r="22745" spans="1:19" x14ac:dyDescent="0.3">
      <c r="A22745" t="str">
        <f t="shared" si="18"/>
        <v>All IHCBS ProvidersIHCBS FFSep-24</v>
      </c>
      <c r="B22745" s="171" t="s">
        <v>45663</v>
      </c>
      <c r="C22745" s="171" t="s">
        <v>40284</v>
      </c>
      <c r="D22745" s="171" t="s">
        <v>80</v>
      </c>
      <c r="E22745" s="11">
        <v>45536</v>
      </c>
      <c r="F22745">
        <v>8</v>
      </c>
      <c r="G22745">
        <v>13</v>
      </c>
      <c r="I22745">
        <v>37</v>
      </c>
      <c r="J22745">
        <v>32</v>
      </c>
      <c r="L22745">
        <v>52</v>
      </c>
      <c r="N22745">
        <v>29</v>
      </c>
      <c r="P22745">
        <v>7</v>
      </c>
      <c r="Q22745">
        <v>9</v>
      </c>
      <c r="S22745">
        <v>8</v>
      </c>
    </row>
    <row r="22746" spans="1:19" x14ac:dyDescent="0.3">
      <c r="A22746" t="str">
        <f t="shared" si="18"/>
        <v>All IHCBS ProvidersIHCBS CombinedSep-24</v>
      </c>
      <c r="B22746" s="171" t="s">
        <v>45664</v>
      </c>
      <c r="C22746" s="171" t="s">
        <v>40284</v>
      </c>
      <c r="D22746" s="171" t="s">
        <v>4</v>
      </c>
      <c r="E22746" s="11">
        <v>45536</v>
      </c>
      <c r="F22746">
        <v>8</v>
      </c>
      <c r="G22746">
        <v>13</v>
      </c>
      <c r="I22746">
        <v>37</v>
      </c>
      <c r="J22746">
        <v>32</v>
      </c>
      <c r="L22746">
        <v>52</v>
      </c>
      <c r="N22746">
        <v>29</v>
      </c>
      <c r="P22746">
        <v>7</v>
      </c>
      <c r="Q22746">
        <v>9</v>
      </c>
      <c r="S22746">
        <v>8</v>
      </c>
    </row>
    <row r="22747" spans="1:19" x14ac:dyDescent="0.3">
      <c r="A22747" t="str">
        <f t="shared" si="18"/>
        <v>All MST ProvidersMST FFSep-24</v>
      </c>
      <c r="B22747" s="171" t="s">
        <v>45665</v>
      </c>
      <c r="C22747" s="171" t="s">
        <v>89</v>
      </c>
      <c r="D22747" s="171" t="s">
        <v>80</v>
      </c>
      <c r="E22747" s="11">
        <v>45536</v>
      </c>
      <c r="F22747">
        <v>2</v>
      </c>
      <c r="G22747">
        <v>4</v>
      </c>
      <c r="I22747">
        <v>10</v>
      </c>
      <c r="J22747">
        <v>10</v>
      </c>
      <c r="L22747">
        <v>20</v>
      </c>
      <c r="N22747">
        <v>9</v>
      </c>
      <c r="P22747">
        <v>1</v>
      </c>
      <c r="Q22747">
        <v>1</v>
      </c>
      <c r="S22747">
        <v>1</v>
      </c>
    </row>
    <row r="22748" spans="1:19" x14ac:dyDescent="0.3">
      <c r="A22748" t="str">
        <f t="shared" si="18"/>
        <v>All MST ProvidersMST CombinedSep-24</v>
      </c>
      <c r="B22748" s="171" t="s">
        <v>45666</v>
      </c>
      <c r="C22748" s="171" t="s">
        <v>89</v>
      </c>
      <c r="D22748" s="171" t="s">
        <v>4</v>
      </c>
      <c r="E22748" s="11">
        <v>45536</v>
      </c>
      <c r="F22748">
        <v>2</v>
      </c>
      <c r="G22748">
        <v>4</v>
      </c>
      <c r="I22748">
        <v>10</v>
      </c>
      <c r="J22748">
        <v>10</v>
      </c>
      <c r="L22748">
        <v>20</v>
      </c>
      <c r="N22748">
        <v>9</v>
      </c>
      <c r="P22748">
        <v>1</v>
      </c>
      <c r="Q22748">
        <v>1</v>
      </c>
      <c r="S22748">
        <v>1</v>
      </c>
    </row>
    <row r="22749" spans="1:19" x14ac:dyDescent="0.3">
      <c r="A22749" t="str">
        <f t="shared" si="18"/>
        <v>All MST-PSB ProvidersMST-PSB FFSep-24</v>
      </c>
      <c r="B22749" s="171" t="s">
        <v>45667</v>
      </c>
      <c r="C22749" s="171" t="s">
        <v>92</v>
      </c>
      <c r="D22749" s="171" t="s">
        <v>80</v>
      </c>
      <c r="E22749" s="11">
        <v>45536</v>
      </c>
      <c r="F22749">
        <v>0</v>
      </c>
      <c r="G22749">
        <v>0</v>
      </c>
      <c r="I22749">
        <v>0</v>
      </c>
      <c r="J22749">
        <v>0</v>
      </c>
      <c r="L22749">
        <v>0</v>
      </c>
      <c r="N22749">
        <v>0</v>
      </c>
      <c r="P22749">
        <v>0</v>
      </c>
      <c r="Q22749">
        <v>0</v>
      </c>
      <c r="S22749">
        <v>0</v>
      </c>
    </row>
    <row r="22750" spans="1:19" x14ac:dyDescent="0.3">
      <c r="A22750" t="str">
        <f t="shared" si="18"/>
        <v>All MST-PSB ProvidersMST-PSB CombinedSep-24</v>
      </c>
      <c r="B22750" s="171" t="s">
        <v>45668</v>
      </c>
      <c r="C22750" s="171" t="s">
        <v>92</v>
      </c>
      <c r="D22750" s="171" t="s">
        <v>4</v>
      </c>
      <c r="E22750" s="11">
        <v>45536</v>
      </c>
      <c r="F22750">
        <v>0</v>
      </c>
      <c r="G22750">
        <v>0</v>
      </c>
      <c r="I22750">
        <v>0</v>
      </c>
      <c r="J22750">
        <v>0</v>
      </c>
      <c r="L22750">
        <v>0</v>
      </c>
      <c r="N22750">
        <v>0</v>
      </c>
      <c r="P22750">
        <v>0</v>
      </c>
      <c r="Q22750">
        <v>0</v>
      </c>
      <c r="S22750">
        <v>0</v>
      </c>
    </row>
    <row r="22751" spans="1:19" x14ac:dyDescent="0.3">
      <c r="A22751" t="str">
        <f t="shared" si="18"/>
        <v>All PCIT ProvidersPCIT FFSep-24</v>
      </c>
      <c r="B22751" s="171" t="s">
        <v>45669</v>
      </c>
      <c r="C22751" s="171" t="s">
        <v>95</v>
      </c>
      <c r="D22751" s="171" t="s">
        <v>80</v>
      </c>
      <c r="E22751" s="11">
        <v>45536</v>
      </c>
      <c r="F22751">
        <v>3.5</v>
      </c>
      <c r="G22751">
        <v>4</v>
      </c>
      <c r="I22751">
        <v>3</v>
      </c>
      <c r="J22751">
        <v>18</v>
      </c>
      <c r="L22751">
        <v>19</v>
      </c>
      <c r="N22751">
        <v>2</v>
      </c>
      <c r="P22751">
        <v>1</v>
      </c>
      <c r="Q22751">
        <v>5</v>
      </c>
      <c r="S22751">
        <v>1</v>
      </c>
    </row>
    <row r="22752" spans="1:19" x14ac:dyDescent="0.3">
      <c r="A22752" t="str">
        <f t="shared" si="18"/>
        <v>All PCIT ProvidersPCIT DCSSep-24</v>
      </c>
      <c r="B22752" s="171" t="s">
        <v>45670</v>
      </c>
      <c r="C22752" s="171" t="s">
        <v>95</v>
      </c>
      <c r="D22752" s="171" t="s">
        <v>15341</v>
      </c>
      <c r="E22752" s="11">
        <v>45536</v>
      </c>
      <c r="F22752">
        <v>0</v>
      </c>
      <c r="G22752">
        <v>0</v>
      </c>
      <c r="I22752">
        <v>0</v>
      </c>
      <c r="J22752">
        <v>0</v>
      </c>
      <c r="L22752">
        <v>0</v>
      </c>
      <c r="N22752">
        <v>0</v>
      </c>
      <c r="P22752">
        <v>0</v>
      </c>
      <c r="Q22752">
        <v>0</v>
      </c>
      <c r="S22752">
        <v>0</v>
      </c>
    </row>
    <row r="22753" spans="1:19" x14ac:dyDescent="0.3">
      <c r="A22753" t="str">
        <f t="shared" si="18"/>
        <v>All PCIT ProvidersPCIT CombinedSep-24</v>
      </c>
      <c r="B22753" s="171" t="s">
        <v>45671</v>
      </c>
      <c r="C22753" s="171" t="s">
        <v>95</v>
      </c>
      <c r="D22753" s="171" t="s">
        <v>4</v>
      </c>
      <c r="E22753" s="11">
        <v>45536</v>
      </c>
      <c r="F22753">
        <v>3.5</v>
      </c>
      <c r="G22753">
        <v>4</v>
      </c>
      <c r="I22753">
        <v>3</v>
      </c>
      <c r="J22753">
        <v>18</v>
      </c>
      <c r="L22753">
        <v>19</v>
      </c>
      <c r="N22753">
        <v>2</v>
      </c>
      <c r="P22753">
        <v>1</v>
      </c>
      <c r="Q22753">
        <v>5</v>
      </c>
      <c r="S22753">
        <v>1</v>
      </c>
    </row>
    <row r="22754" spans="1:19" x14ac:dyDescent="0.3">
      <c r="A22754" t="str">
        <f t="shared" si="18"/>
        <v>All PCIT-T ProvidersPCIT-T FFSep-24</v>
      </c>
      <c r="B22754" s="171" t="s">
        <v>45672</v>
      </c>
      <c r="C22754" s="171" t="s">
        <v>35161</v>
      </c>
      <c r="D22754" s="171" t="s">
        <v>80</v>
      </c>
      <c r="E22754" s="11">
        <v>45536</v>
      </c>
      <c r="F22754">
        <v>3</v>
      </c>
      <c r="G22754">
        <v>3.5</v>
      </c>
      <c r="I22754">
        <v>3</v>
      </c>
      <c r="J22754">
        <v>16</v>
      </c>
      <c r="L22754">
        <v>18</v>
      </c>
      <c r="N22754">
        <v>2</v>
      </c>
      <c r="P22754">
        <v>0</v>
      </c>
      <c r="Q22754">
        <v>0</v>
      </c>
      <c r="S22754">
        <v>1</v>
      </c>
    </row>
    <row r="22755" spans="1:19" x14ac:dyDescent="0.3">
      <c r="A22755" t="str">
        <f t="shared" si="18"/>
        <v>All PCIT-T ProvidersPCIT-T CombinedSep-24</v>
      </c>
      <c r="B22755" s="171" t="s">
        <v>45673</v>
      </c>
      <c r="C22755" s="171" t="s">
        <v>35161</v>
      </c>
      <c r="D22755" s="171" t="s">
        <v>4</v>
      </c>
      <c r="E22755" s="11">
        <v>45536</v>
      </c>
      <c r="F22755">
        <v>3</v>
      </c>
      <c r="G22755">
        <v>3.5</v>
      </c>
      <c r="I22755">
        <v>3</v>
      </c>
      <c r="J22755">
        <v>16</v>
      </c>
      <c r="L22755">
        <v>18</v>
      </c>
      <c r="N22755">
        <v>2</v>
      </c>
      <c r="P22755">
        <v>0</v>
      </c>
      <c r="Q22755">
        <v>0</v>
      </c>
      <c r="S22755">
        <v>1</v>
      </c>
    </row>
    <row r="22756" spans="1:19" x14ac:dyDescent="0.3">
      <c r="A22756" t="str">
        <f t="shared" si="18"/>
        <v>All SFCR ProvidersSFCR FFSep-24</v>
      </c>
      <c r="B22756" s="171" t="s">
        <v>45674</v>
      </c>
      <c r="C22756" s="171" t="s">
        <v>19659</v>
      </c>
      <c r="D22756" s="171" t="s">
        <v>80</v>
      </c>
      <c r="E22756" s="11">
        <v>45536</v>
      </c>
      <c r="F22756">
        <v>0</v>
      </c>
      <c r="G22756">
        <v>0</v>
      </c>
      <c r="I22756">
        <v>0</v>
      </c>
      <c r="J22756">
        <v>0</v>
      </c>
      <c r="L22756">
        <v>0</v>
      </c>
      <c r="N22756">
        <v>0</v>
      </c>
      <c r="P22756">
        <v>0</v>
      </c>
      <c r="Q22756">
        <v>0</v>
      </c>
      <c r="S22756">
        <v>0</v>
      </c>
    </row>
    <row r="22757" spans="1:19" x14ac:dyDescent="0.3">
      <c r="A22757" t="str">
        <f t="shared" si="18"/>
        <v>All SFCR ProvidersSFCR CombinedSep-24</v>
      </c>
      <c r="B22757" s="171" t="s">
        <v>45675</v>
      </c>
      <c r="C22757" s="171" t="s">
        <v>19659</v>
      </c>
      <c r="D22757" s="171" t="s">
        <v>4</v>
      </c>
      <c r="E22757" s="11">
        <v>45536</v>
      </c>
      <c r="F22757">
        <v>0</v>
      </c>
      <c r="G22757">
        <v>0</v>
      </c>
      <c r="I22757">
        <v>0</v>
      </c>
      <c r="J22757">
        <v>0</v>
      </c>
      <c r="L22757">
        <v>0</v>
      </c>
      <c r="N22757">
        <v>0</v>
      </c>
      <c r="P22757">
        <v>0</v>
      </c>
      <c r="Q22757">
        <v>0</v>
      </c>
      <c r="S22757">
        <v>0</v>
      </c>
    </row>
    <row r="22758" spans="1:19" x14ac:dyDescent="0.3">
      <c r="A22758" t="str">
        <f t="shared" si="18"/>
        <v>All TF-CBT ProvidersTF-CBT FFSep-24</v>
      </c>
      <c r="B22758" s="171" t="s">
        <v>45676</v>
      </c>
      <c r="C22758" s="171" t="s">
        <v>98</v>
      </c>
      <c r="D22758" s="171" t="s">
        <v>80</v>
      </c>
      <c r="E22758" s="11">
        <v>45536</v>
      </c>
      <c r="F22758">
        <v>7</v>
      </c>
      <c r="G22758">
        <v>14</v>
      </c>
      <c r="I22758">
        <v>13</v>
      </c>
      <c r="J22758">
        <v>40</v>
      </c>
      <c r="L22758">
        <v>78</v>
      </c>
      <c r="N22758">
        <v>12</v>
      </c>
      <c r="P22758">
        <v>2</v>
      </c>
      <c r="Q22758">
        <v>4</v>
      </c>
      <c r="S22758">
        <v>1</v>
      </c>
    </row>
    <row r="22759" spans="1:19" x14ac:dyDescent="0.3">
      <c r="A22759" t="str">
        <f t="shared" si="18"/>
        <v>All TF-CBT ProvidersTF-CBT CombinedSep-24</v>
      </c>
      <c r="B22759" s="171" t="s">
        <v>45677</v>
      </c>
      <c r="C22759" s="171" t="s">
        <v>98</v>
      </c>
      <c r="D22759" s="171" t="s">
        <v>4</v>
      </c>
      <c r="E22759" s="11">
        <v>45536</v>
      </c>
      <c r="F22759">
        <v>7</v>
      </c>
      <c r="G22759">
        <v>14</v>
      </c>
      <c r="I22759">
        <v>13</v>
      </c>
      <c r="J22759">
        <v>40</v>
      </c>
      <c r="L22759">
        <v>78</v>
      </c>
      <c r="N22759">
        <v>12</v>
      </c>
      <c r="P22759">
        <v>2</v>
      </c>
      <c r="Q22759">
        <v>4</v>
      </c>
      <c r="S22759">
        <v>1</v>
      </c>
    </row>
    <row r="22760" spans="1:19" x14ac:dyDescent="0.3">
      <c r="A22760" t="str">
        <f t="shared" si="18"/>
        <v>All TIP ProvidersTIP FFSep-24</v>
      </c>
      <c r="B22760" s="171" t="s">
        <v>45678</v>
      </c>
      <c r="C22760" s="171" t="s">
        <v>101</v>
      </c>
      <c r="D22760" s="171" t="s">
        <v>80</v>
      </c>
      <c r="E22760" s="11">
        <v>45536</v>
      </c>
      <c r="F22760">
        <v>26.5</v>
      </c>
      <c r="G22760">
        <v>29.5</v>
      </c>
      <c r="I22760">
        <v>171</v>
      </c>
      <c r="J22760">
        <v>294</v>
      </c>
      <c r="L22760">
        <v>330</v>
      </c>
      <c r="N22760">
        <v>167</v>
      </c>
      <c r="P22760">
        <v>9</v>
      </c>
      <c r="Q22760">
        <v>12</v>
      </c>
      <c r="S22760">
        <v>4</v>
      </c>
    </row>
    <row r="22761" spans="1:19" x14ac:dyDescent="0.3">
      <c r="A22761" t="str">
        <f t="shared" si="18"/>
        <v>All TIP ProvidersTIP CombinedSep-24</v>
      </c>
      <c r="B22761" s="171" t="s">
        <v>45679</v>
      </c>
      <c r="C22761" s="171" t="s">
        <v>101</v>
      </c>
      <c r="D22761" s="171" t="s">
        <v>4</v>
      </c>
      <c r="E22761" s="11">
        <v>45536</v>
      </c>
      <c r="F22761">
        <v>26.5</v>
      </c>
      <c r="G22761">
        <v>29.5</v>
      </c>
      <c r="I22761">
        <v>171</v>
      </c>
      <c r="J22761">
        <v>294</v>
      </c>
      <c r="L22761">
        <v>330</v>
      </c>
      <c r="N22761">
        <v>167</v>
      </c>
      <c r="P22761">
        <v>9</v>
      </c>
      <c r="Q22761">
        <v>12</v>
      </c>
      <c r="S22761">
        <v>4</v>
      </c>
    </row>
    <row r="22762" spans="1:19" x14ac:dyDescent="0.3">
      <c r="A22762" t="str">
        <f t="shared" si="18"/>
        <v>All TST ProvidersTST FFSep-24</v>
      </c>
      <c r="B22762" s="171" t="s">
        <v>45680</v>
      </c>
      <c r="C22762" s="171" t="s">
        <v>6843</v>
      </c>
      <c r="D22762" s="171" t="s">
        <v>80</v>
      </c>
      <c r="E22762" s="11">
        <v>45536</v>
      </c>
      <c r="F22762">
        <v>1</v>
      </c>
      <c r="G22762">
        <v>5</v>
      </c>
      <c r="I22762">
        <v>6</v>
      </c>
      <c r="J22762">
        <v>5</v>
      </c>
      <c r="L22762">
        <v>28</v>
      </c>
      <c r="N22762">
        <v>5</v>
      </c>
      <c r="P22762">
        <v>0</v>
      </c>
      <c r="Q22762">
        <v>0</v>
      </c>
      <c r="S22762">
        <v>1</v>
      </c>
    </row>
    <row r="22763" spans="1:19" x14ac:dyDescent="0.3">
      <c r="A22763" t="str">
        <f t="shared" si="18"/>
        <v>All TST ProvidersTST CombinedSep-24</v>
      </c>
      <c r="B22763" s="171" t="s">
        <v>45681</v>
      </c>
      <c r="C22763" s="171" t="s">
        <v>6843</v>
      </c>
      <c r="D22763" s="171" t="s">
        <v>4</v>
      </c>
      <c r="E22763" s="11">
        <v>45536</v>
      </c>
      <c r="F22763">
        <v>1</v>
      </c>
      <c r="G22763">
        <v>5</v>
      </c>
      <c r="I22763">
        <v>6</v>
      </c>
      <c r="J22763">
        <v>5</v>
      </c>
      <c r="L22763">
        <v>28</v>
      </c>
      <c r="N22763">
        <v>5</v>
      </c>
      <c r="P22763">
        <v>0</v>
      </c>
      <c r="Q22763">
        <v>0</v>
      </c>
      <c r="S22763">
        <v>1</v>
      </c>
    </row>
    <row r="22764" spans="1:19" x14ac:dyDescent="0.3">
      <c r="A22764" t="str">
        <f t="shared" si="18"/>
        <v>Families First ProvidersAll FFSep-24</v>
      </c>
      <c r="B22764" s="171" t="s">
        <v>45682</v>
      </c>
      <c r="C22764" s="171" t="s">
        <v>12995</v>
      </c>
      <c r="D22764" s="171" t="s">
        <v>80</v>
      </c>
      <c r="E22764" s="11">
        <v>45536</v>
      </c>
      <c r="F22764">
        <v>60.5</v>
      </c>
      <c r="G22764">
        <v>85</v>
      </c>
      <c r="I22764">
        <v>268</v>
      </c>
      <c r="J22764">
        <v>469</v>
      </c>
      <c r="L22764">
        <v>610</v>
      </c>
      <c r="N22764">
        <v>249</v>
      </c>
      <c r="O22764" t="s">
        <v>16361</v>
      </c>
      <c r="P22764">
        <v>24</v>
      </c>
      <c r="Q22764">
        <v>36</v>
      </c>
      <c r="S22764">
        <v>19</v>
      </c>
    </row>
    <row r="22765" spans="1:19" x14ac:dyDescent="0.3">
      <c r="A22765" t="str">
        <f t="shared" si="18"/>
        <v>DC Seed ProvidersAll DCSSep-24</v>
      </c>
      <c r="B22765" s="171" t="s">
        <v>45683</v>
      </c>
      <c r="C22765" s="171" t="s">
        <v>15504</v>
      </c>
      <c r="D22765" s="171" t="s">
        <v>15341</v>
      </c>
      <c r="E22765" s="11">
        <v>45536</v>
      </c>
      <c r="F22765">
        <v>0</v>
      </c>
      <c r="G22765">
        <v>0</v>
      </c>
      <c r="I22765">
        <v>0</v>
      </c>
      <c r="J22765">
        <v>0</v>
      </c>
      <c r="L22765">
        <v>0</v>
      </c>
      <c r="N22765">
        <v>0</v>
      </c>
      <c r="O22765" t="s">
        <v>16361</v>
      </c>
      <c r="P22765">
        <v>0</v>
      </c>
      <c r="Q22765">
        <v>0</v>
      </c>
      <c r="S22765">
        <v>0</v>
      </c>
    </row>
    <row r="22766" spans="1:19" x14ac:dyDescent="0.3">
      <c r="A22766" t="str">
        <f t="shared" si="18"/>
        <v>Trauma ProvidersAll FFSep-24</v>
      </c>
      <c r="B22766" s="171" t="s">
        <v>45684</v>
      </c>
      <c r="C22766" s="171" t="s">
        <v>15511</v>
      </c>
      <c r="D22766" s="171" t="s">
        <v>80</v>
      </c>
      <c r="E22766" s="11">
        <v>45536</v>
      </c>
      <c r="F22766">
        <v>18</v>
      </c>
      <c r="G22766">
        <v>25.5</v>
      </c>
      <c r="H22766">
        <v>201</v>
      </c>
      <c r="I22766">
        <v>27</v>
      </c>
      <c r="J22766">
        <v>98</v>
      </c>
      <c r="L22766">
        <v>136</v>
      </c>
      <c r="N22766">
        <v>24</v>
      </c>
      <c r="P22766">
        <v>3</v>
      </c>
      <c r="Q22766">
        <v>9</v>
      </c>
      <c r="S22766">
        <v>3</v>
      </c>
    </row>
    <row r="22767" spans="1:19" x14ac:dyDescent="0.3">
      <c r="A22767" t="str">
        <f t="shared" si="18"/>
        <v>Trauma ProvidersAll DCSSep-24</v>
      </c>
      <c r="B22767" s="171" t="s">
        <v>45685</v>
      </c>
      <c r="C22767" s="171" t="s">
        <v>15511</v>
      </c>
      <c r="D22767" s="171" t="s">
        <v>15341</v>
      </c>
      <c r="E22767" s="11">
        <v>45536</v>
      </c>
      <c r="F22767">
        <v>0</v>
      </c>
      <c r="G22767">
        <v>0</v>
      </c>
      <c r="I22767">
        <v>0</v>
      </c>
      <c r="J22767">
        <v>0</v>
      </c>
      <c r="L22767">
        <v>0</v>
      </c>
      <c r="N22767">
        <v>0</v>
      </c>
      <c r="P22767">
        <v>0</v>
      </c>
      <c r="Q22767">
        <v>0</v>
      </c>
      <c r="S22767">
        <v>0</v>
      </c>
    </row>
    <row r="22768" spans="1:19" x14ac:dyDescent="0.3">
      <c r="A22768" t="str">
        <f t="shared" si="18"/>
        <v>Trauma ProvidersAll CombinedSep-24</v>
      </c>
      <c r="B22768" s="171" t="s">
        <v>45686</v>
      </c>
      <c r="C22768" s="171" t="s">
        <v>15511</v>
      </c>
      <c r="D22768" s="171" t="s">
        <v>4</v>
      </c>
      <c r="E22768" s="11">
        <v>45536</v>
      </c>
      <c r="F22768">
        <v>18</v>
      </c>
      <c r="G22768">
        <v>25.5</v>
      </c>
      <c r="I22768">
        <v>27</v>
      </c>
      <c r="J22768">
        <v>98</v>
      </c>
      <c r="L22768">
        <v>136</v>
      </c>
      <c r="N22768">
        <v>24</v>
      </c>
      <c r="P22768">
        <v>3</v>
      </c>
      <c r="Q22768">
        <v>9</v>
      </c>
      <c r="S22768">
        <v>3</v>
      </c>
    </row>
    <row r="22769" spans="1:19" x14ac:dyDescent="0.3">
      <c r="A22769" t="str">
        <f t="shared" si="18"/>
        <v>AllAll CombinedSep-24</v>
      </c>
      <c r="B22769" s="171" t="s">
        <v>45687</v>
      </c>
      <c r="C22769" s="171" t="s">
        <v>104</v>
      </c>
      <c r="D22769" s="171" t="s">
        <v>4</v>
      </c>
      <c r="E22769" s="11">
        <v>45536</v>
      </c>
      <c r="F22769">
        <v>60.5</v>
      </c>
      <c r="G22769">
        <v>85</v>
      </c>
      <c r="I22769">
        <v>268</v>
      </c>
      <c r="J22769">
        <v>469</v>
      </c>
      <c r="L22769">
        <v>610</v>
      </c>
      <c r="N22769">
        <v>249</v>
      </c>
      <c r="P22769">
        <v>24</v>
      </c>
      <c r="Q22769">
        <v>36</v>
      </c>
      <c r="S22769">
        <v>19</v>
      </c>
    </row>
    <row r="22770" spans="1:19" x14ac:dyDescent="0.3">
      <c r="A22770" t="str">
        <f>C22770&amp;" "&amp;D22770&amp;"Oct-24"</f>
        <v>DBH Parent SupportABC FFOct-24</v>
      </c>
      <c r="B22770" s="171" t="s">
        <v>45688</v>
      </c>
      <c r="C22770" s="171" t="s">
        <v>34754</v>
      </c>
      <c r="D22770" s="171" t="s">
        <v>80</v>
      </c>
      <c r="E22770" s="11">
        <v>45566</v>
      </c>
      <c r="F22770">
        <v>0</v>
      </c>
      <c r="G22770">
        <v>0</v>
      </c>
      <c r="I22770">
        <v>0</v>
      </c>
      <c r="J22770">
        <v>0</v>
      </c>
      <c r="L22770">
        <v>0</v>
      </c>
      <c r="N22770">
        <v>0</v>
      </c>
      <c r="P22770">
        <v>0</v>
      </c>
      <c r="Q22770">
        <v>0</v>
      </c>
      <c r="S22770">
        <v>0</v>
      </c>
    </row>
    <row r="22771" spans="1:19" x14ac:dyDescent="0.3">
      <c r="A22771" t="str">
        <f t="shared" ref="A22771:A22834" si="19">C22771&amp;" "&amp;D22771&amp;"Oct-24"</f>
        <v>Healthy FuturesABC FFOct-24</v>
      </c>
      <c r="B22771" s="171" t="s">
        <v>45689</v>
      </c>
      <c r="C22771" s="171" t="s">
        <v>34757</v>
      </c>
      <c r="D22771" s="171" t="s">
        <v>80</v>
      </c>
      <c r="E22771" s="11">
        <v>45566</v>
      </c>
      <c r="F22771">
        <v>0</v>
      </c>
      <c r="G22771">
        <v>0</v>
      </c>
      <c r="I22771">
        <v>0</v>
      </c>
      <c r="J22771">
        <v>0</v>
      </c>
      <c r="L22771">
        <v>0</v>
      </c>
      <c r="N22771">
        <v>0</v>
      </c>
      <c r="P22771">
        <v>0</v>
      </c>
      <c r="Q22771">
        <v>0</v>
      </c>
      <c r="S22771">
        <v>0</v>
      </c>
    </row>
    <row r="22772" spans="1:19" x14ac:dyDescent="0.3">
      <c r="A22772" t="str">
        <f t="shared" si="19"/>
        <v>Marys CenterABC FFOct-24</v>
      </c>
      <c r="B22772" s="171" t="s">
        <v>45690</v>
      </c>
      <c r="C22772" s="171" t="s">
        <v>34760</v>
      </c>
      <c r="D22772" s="171" t="s">
        <v>80</v>
      </c>
      <c r="E22772" s="11">
        <v>45566</v>
      </c>
      <c r="F22772">
        <v>0</v>
      </c>
      <c r="G22772">
        <v>0</v>
      </c>
      <c r="I22772">
        <v>0</v>
      </c>
      <c r="J22772">
        <v>0</v>
      </c>
      <c r="L22772">
        <v>0</v>
      </c>
      <c r="N22772">
        <v>0</v>
      </c>
      <c r="P22772">
        <v>0</v>
      </c>
      <c r="Q22772">
        <v>0</v>
      </c>
      <c r="S22772">
        <v>0</v>
      </c>
    </row>
    <row r="22773" spans="1:19" x14ac:dyDescent="0.3">
      <c r="A22773" t="str">
        <f t="shared" si="19"/>
        <v>Medstar GeorgetownABC FFOct-24</v>
      </c>
      <c r="B22773" s="171" t="s">
        <v>45691</v>
      </c>
      <c r="C22773" s="171" t="s">
        <v>34763</v>
      </c>
      <c r="D22773" s="171" t="s">
        <v>80</v>
      </c>
      <c r="E22773" s="11">
        <v>45566</v>
      </c>
      <c r="F22773">
        <v>0</v>
      </c>
      <c r="G22773">
        <v>0</v>
      </c>
      <c r="I22773">
        <v>0</v>
      </c>
      <c r="J22773">
        <v>0</v>
      </c>
      <c r="L22773">
        <v>0</v>
      </c>
      <c r="N22773">
        <v>0</v>
      </c>
      <c r="P22773">
        <v>0</v>
      </c>
      <c r="Q22773">
        <v>0</v>
      </c>
      <c r="S22773">
        <v>0</v>
      </c>
    </row>
    <row r="22774" spans="1:19" x14ac:dyDescent="0.3">
      <c r="A22774" t="str">
        <f t="shared" si="19"/>
        <v>PIECEABC FFOct-24</v>
      </c>
      <c r="B22774" s="171" t="s">
        <v>45692</v>
      </c>
      <c r="C22774" s="171" t="s">
        <v>34766</v>
      </c>
      <c r="D22774" s="171" t="s">
        <v>80</v>
      </c>
      <c r="E22774" s="11">
        <v>45566</v>
      </c>
      <c r="F22774">
        <v>0</v>
      </c>
      <c r="G22774">
        <v>0</v>
      </c>
      <c r="I22774">
        <v>0</v>
      </c>
      <c r="J22774">
        <v>0</v>
      </c>
      <c r="L22774">
        <v>0</v>
      </c>
      <c r="N22774">
        <v>0</v>
      </c>
      <c r="P22774">
        <v>0</v>
      </c>
      <c r="Q22774">
        <v>0</v>
      </c>
      <c r="S22774">
        <v>0</v>
      </c>
    </row>
    <row r="22775" spans="1:19" x14ac:dyDescent="0.3">
      <c r="A22775" t="str">
        <f t="shared" si="19"/>
        <v>Federal CityA-CRA FFOct-24</v>
      </c>
      <c r="B22775" s="171" t="s">
        <v>45693</v>
      </c>
      <c r="C22775" s="171" t="s">
        <v>119</v>
      </c>
      <c r="D22775" s="171" t="s">
        <v>80</v>
      </c>
      <c r="E22775" s="11">
        <v>45566</v>
      </c>
      <c r="F22775">
        <v>0</v>
      </c>
      <c r="G22775">
        <v>0</v>
      </c>
      <c r="I22775">
        <v>0</v>
      </c>
      <c r="J22775">
        <v>0</v>
      </c>
      <c r="L22775">
        <v>0</v>
      </c>
      <c r="N22775">
        <v>0</v>
      </c>
      <c r="P22775">
        <v>0</v>
      </c>
      <c r="Q22775">
        <v>0</v>
      </c>
      <c r="S22775">
        <v>0</v>
      </c>
    </row>
    <row r="22776" spans="1:19" x14ac:dyDescent="0.3">
      <c r="A22776" t="str">
        <f t="shared" si="19"/>
        <v>HillcrestA-CRA FFOct-24</v>
      </c>
      <c r="B22776" s="171" t="s">
        <v>45694</v>
      </c>
      <c r="C22776" s="171" t="s">
        <v>143</v>
      </c>
      <c r="D22776" s="171" t="s">
        <v>80</v>
      </c>
      <c r="E22776" s="11">
        <v>45566</v>
      </c>
      <c r="F22776">
        <v>0</v>
      </c>
      <c r="G22776">
        <v>0</v>
      </c>
      <c r="I22776">
        <v>0</v>
      </c>
      <c r="J22776">
        <v>0</v>
      </c>
      <c r="L22776">
        <v>0</v>
      </c>
      <c r="N22776">
        <v>0</v>
      </c>
      <c r="P22776">
        <v>0</v>
      </c>
      <c r="Q22776">
        <v>0</v>
      </c>
      <c r="S22776">
        <v>0</v>
      </c>
    </row>
    <row r="22777" spans="1:19" x14ac:dyDescent="0.3">
      <c r="A22777" t="str">
        <f t="shared" si="19"/>
        <v>LAYCA-CRA FFOct-24</v>
      </c>
      <c r="B22777" s="171" t="s">
        <v>45695</v>
      </c>
      <c r="C22777" s="171" t="s">
        <v>158</v>
      </c>
      <c r="D22777" s="171" t="s">
        <v>80</v>
      </c>
      <c r="E22777" s="11">
        <v>45566</v>
      </c>
      <c r="F22777">
        <v>0</v>
      </c>
      <c r="G22777">
        <v>0</v>
      </c>
      <c r="I22777">
        <v>0</v>
      </c>
      <c r="J22777">
        <v>0</v>
      </c>
      <c r="L22777">
        <v>0</v>
      </c>
      <c r="N22777">
        <v>0</v>
      </c>
      <c r="P22777">
        <v>0</v>
      </c>
      <c r="Q22777">
        <v>0</v>
      </c>
      <c r="S22777">
        <v>0</v>
      </c>
    </row>
    <row r="22778" spans="1:19" x14ac:dyDescent="0.3">
      <c r="A22778" t="str">
        <f t="shared" si="19"/>
        <v>RiversideA-CRA FFOct-24</v>
      </c>
      <c r="B22778" s="171" t="s">
        <v>45696</v>
      </c>
      <c r="C22778" s="171" t="s">
        <v>209</v>
      </c>
      <c r="D22778" s="171" t="s">
        <v>80</v>
      </c>
      <c r="E22778" s="11">
        <v>45566</v>
      </c>
      <c r="F22778">
        <v>0</v>
      </c>
      <c r="G22778">
        <v>0</v>
      </c>
      <c r="I22778">
        <v>0</v>
      </c>
      <c r="J22778">
        <v>0</v>
      </c>
      <c r="L22778">
        <v>0</v>
      </c>
      <c r="N22778">
        <v>0</v>
      </c>
      <c r="P22778">
        <v>0</v>
      </c>
      <c r="Q22778">
        <v>0</v>
      </c>
      <c r="S22778">
        <v>0</v>
      </c>
    </row>
    <row r="22779" spans="1:19" x14ac:dyDescent="0.3">
      <c r="A22779" t="str">
        <f t="shared" si="19"/>
        <v>Adoptions TogetherCPP-FV FFOct-24</v>
      </c>
      <c r="B22779" s="171" t="s">
        <v>45697</v>
      </c>
      <c r="C22779" s="171" t="s">
        <v>76</v>
      </c>
      <c r="D22779" s="171" t="s">
        <v>80</v>
      </c>
      <c r="E22779" s="11">
        <v>45566</v>
      </c>
      <c r="F22779">
        <v>0</v>
      </c>
      <c r="G22779">
        <v>0</v>
      </c>
      <c r="I22779">
        <v>0</v>
      </c>
      <c r="J22779">
        <v>0</v>
      </c>
      <c r="L22779">
        <v>0</v>
      </c>
      <c r="N22779">
        <v>0</v>
      </c>
      <c r="P22779">
        <v>0</v>
      </c>
      <c r="Q22779">
        <v>0</v>
      </c>
      <c r="S22779">
        <v>0</v>
      </c>
    </row>
    <row r="22780" spans="1:19" x14ac:dyDescent="0.3">
      <c r="A22780" t="str">
        <f t="shared" si="19"/>
        <v>Community ConnectionsCPP-FV DCSOct-24</v>
      </c>
      <c r="B22780" s="171" t="s">
        <v>45698</v>
      </c>
      <c r="C22780" s="171" t="s">
        <v>15340</v>
      </c>
      <c r="D22780" s="171" t="s">
        <v>15341</v>
      </c>
      <c r="E22780" s="11">
        <v>45566</v>
      </c>
      <c r="F22780">
        <v>0</v>
      </c>
      <c r="G22780">
        <v>0</v>
      </c>
      <c r="I22780">
        <v>0</v>
      </c>
      <c r="J22780">
        <v>0</v>
      </c>
      <c r="L22780">
        <v>0</v>
      </c>
      <c r="N22780">
        <v>0</v>
      </c>
      <c r="P22780">
        <v>0</v>
      </c>
      <c r="Q22780">
        <v>0</v>
      </c>
      <c r="S22780">
        <v>0</v>
      </c>
    </row>
    <row r="22781" spans="1:19" x14ac:dyDescent="0.3">
      <c r="A22781" t="str">
        <f t="shared" si="19"/>
        <v>Community ConnectionsCPP-FV FFOct-24</v>
      </c>
      <c r="B22781" s="171" t="s">
        <v>45699</v>
      </c>
      <c r="C22781" s="171" t="s">
        <v>15340</v>
      </c>
      <c r="D22781" s="171" t="s">
        <v>80</v>
      </c>
      <c r="E22781" s="11">
        <v>45566</v>
      </c>
      <c r="F22781">
        <v>0</v>
      </c>
      <c r="G22781">
        <v>0</v>
      </c>
      <c r="I22781">
        <v>0</v>
      </c>
      <c r="J22781">
        <v>0</v>
      </c>
      <c r="L22781">
        <v>0</v>
      </c>
      <c r="N22781">
        <v>0</v>
      </c>
      <c r="P22781">
        <v>0</v>
      </c>
      <c r="Q22781">
        <v>0</v>
      </c>
      <c r="S22781">
        <v>0</v>
      </c>
    </row>
    <row r="22782" spans="1:19" x14ac:dyDescent="0.3">
      <c r="A22782" t="str">
        <f t="shared" si="19"/>
        <v>Foundations for Home &amp; CommunityCPP-FV DCSOct-24</v>
      </c>
      <c r="B22782" s="171" t="s">
        <v>45700</v>
      </c>
      <c r="C22782" s="171" t="s">
        <v>15344</v>
      </c>
      <c r="D22782" s="171" t="s">
        <v>15341</v>
      </c>
      <c r="E22782" s="11">
        <v>45566</v>
      </c>
      <c r="F22782">
        <v>0</v>
      </c>
      <c r="G22782">
        <v>0</v>
      </c>
      <c r="I22782">
        <v>0</v>
      </c>
      <c r="J22782">
        <v>0</v>
      </c>
      <c r="L22782">
        <v>0</v>
      </c>
      <c r="N22782">
        <v>0</v>
      </c>
      <c r="P22782">
        <v>0</v>
      </c>
      <c r="Q22782">
        <v>0</v>
      </c>
      <c r="S22782">
        <v>0</v>
      </c>
    </row>
    <row r="22783" spans="1:19" x14ac:dyDescent="0.3">
      <c r="A22783" t="str">
        <f t="shared" si="19"/>
        <v>Marys CenterCPP-FV DCSOct-24</v>
      </c>
      <c r="B22783" s="171" t="s">
        <v>45701</v>
      </c>
      <c r="C22783" s="171" t="s">
        <v>15347</v>
      </c>
      <c r="D22783" s="171" t="s">
        <v>15341</v>
      </c>
      <c r="E22783" s="11">
        <v>45566</v>
      </c>
      <c r="F22783">
        <v>0</v>
      </c>
      <c r="G22783">
        <v>0</v>
      </c>
      <c r="I22783">
        <v>0</v>
      </c>
      <c r="J22783">
        <v>0</v>
      </c>
      <c r="L22783">
        <v>0</v>
      </c>
      <c r="N22783">
        <v>0</v>
      </c>
      <c r="P22783">
        <v>0</v>
      </c>
      <c r="Q22783">
        <v>0</v>
      </c>
      <c r="S22783">
        <v>0</v>
      </c>
    </row>
    <row r="22784" spans="1:19" x14ac:dyDescent="0.3">
      <c r="A22784" t="str">
        <f t="shared" si="19"/>
        <v>Marys CenterCPP-FV FFOct-24</v>
      </c>
      <c r="B22784" s="171" t="s">
        <v>45702</v>
      </c>
      <c r="C22784" s="171" t="s">
        <v>15347</v>
      </c>
      <c r="D22784" s="171" t="s">
        <v>80</v>
      </c>
      <c r="E22784" s="11">
        <v>45566</v>
      </c>
      <c r="F22784">
        <v>1.5</v>
      </c>
      <c r="G22784">
        <v>2.5</v>
      </c>
      <c r="I22784">
        <v>5</v>
      </c>
      <c r="J22784">
        <v>9</v>
      </c>
      <c r="L22784">
        <v>15</v>
      </c>
      <c r="N22784">
        <v>5</v>
      </c>
      <c r="P22784">
        <v>0</v>
      </c>
      <c r="Q22784">
        <v>0</v>
      </c>
      <c r="S22784">
        <v>0</v>
      </c>
    </row>
    <row r="22785" spans="1:19" x14ac:dyDescent="0.3">
      <c r="A22785" t="str">
        <f t="shared" si="19"/>
        <v>PIECECPP-FV DCSOct-24</v>
      </c>
      <c r="B22785" s="171" t="s">
        <v>45703</v>
      </c>
      <c r="C22785" s="171" t="s">
        <v>203</v>
      </c>
      <c r="D22785" s="171" t="s">
        <v>15341</v>
      </c>
      <c r="E22785" s="11">
        <v>45566</v>
      </c>
      <c r="F22785">
        <v>0</v>
      </c>
      <c r="G22785">
        <v>0</v>
      </c>
      <c r="I22785">
        <v>0</v>
      </c>
      <c r="J22785">
        <v>0</v>
      </c>
      <c r="L22785">
        <v>0</v>
      </c>
      <c r="N22785">
        <v>0</v>
      </c>
      <c r="P22785">
        <v>0</v>
      </c>
      <c r="Q22785">
        <v>0</v>
      </c>
      <c r="S22785">
        <v>0</v>
      </c>
    </row>
    <row r="22786" spans="1:19" x14ac:dyDescent="0.3">
      <c r="A22786" t="str">
        <f t="shared" si="19"/>
        <v>PIECECPP-FV FFOct-24</v>
      </c>
      <c r="B22786" s="171" t="s">
        <v>45704</v>
      </c>
      <c r="C22786" s="171" t="s">
        <v>203</v>
      </c>
      <c r="D22786" s="171" t="s">
        <v>80</v>
      </c>
      <c r="E22786" s="11">
        <v>45566</v>
      </c>
      <c r="F22786">
        <v>3</v>
      </c>
      <c r="G22786">
        <v>2.5</v>
      </c>
      <c r="I22786">
        <v>3</v>
      </c>
      <c r="J22786">
        <v>15</v>
      </c>
      <c r="L22786">
        <v>13</v>
      </c>
      <c r="N22786">
        <v>3</v>
      </c>
      <c r="P22786">
        <v>0</v>
      </c>
      <c r="Q22786">
        <v>0</v>
      </c>
      <c r="S22786">
        <v>0</v>
      </c>
    </row>
    <row r="22787" spans="1:19" x14ac:dyDescent="0.3">
      <c r="A22787" t="str">
        <f t="shared" si="19"/>
        <v>Medstar GeorgetownCPP-FV DCSOct-24</v>
      </c>
      <c r="B22787" s="171" t="s">
        <v>45705</v>
      </c>
      <c r="C22787" s="171" t="s">
        <v>24281</v>
      </c>
      <c r="D22787" s="171" t="s">
        <v>15341</v>
      </c>
      <c r="E22787" s="11">
        <v>45566</v>
      </c>
      <c r="F22787">
        <v>0</v>
      </c>
      <c r="G22787">
        <v>0</v>
      </c>
      <c r="I22787">
        <v>0</v>
      </c>
      <c r="J22787">
        <v>0</v>
      </c>
      <c r="L22787">
        <v>0</v>
      </c>
      <c r="N22787">
        <v>0</v>
      </c>
      <c r="P22787">
        <v>0</v>
      </c>
      <c r="Q22787">
        <v>0</v>
      </c>
      <c r="S22787">
        <v>0</v>
      </c>
    </row>
    <row r="22788" spans="1:19" x14ac:dyDescent="0.3">
      <c r="A22788" t="str">
        <f t="shared" si="19"/>
        <v>Medstar GeorgetownCPP-FV FFOct-24</v>
      </c>
      <c r="B22788" s="171" t="s">
        <v>45706</v>
      </c>
      <c r="C22788" s="171" t="s">
        <v>24281</v>
      </c>
      <c r="D22788" s="171" t="s">
        <v>80</v>
      </c>
      <c r="E22788" s="11">
        <v>45566</v>
      </c>
      <c r="F22788">
        <v>0</v>
      </c>
      <c r="G22788">
        <v>0</v>
      </c>
      <c r="I22788">
        <v>0</v>
      </c>
      <c r="J22788">
        <v>0</v>
      </c>
      <c r="L22788">
        <v>0</v>
      </c>
      <c r="N22788">
        <v>0</v>
      </c>
      <c r="P22788">
        <v>0</v>
      </c>
      <c r="Q22788">
        <v>0</v>
      </c>
      <c r="S22788">
        <v>0</v>
      </c>
    </row>
    <row r="22789" spans="1:19" x14ac:dyDescent="0.3">
      <c r="A22789" t="str">
        <f t="shared" si="19"/>
        <v>Better MorningsFFT FFOct-24</v>
      </c>
      <c r="B22789" s="171" t="s">
        <v>45707</v>
      </c>
      <c r="C22789" s="171" t="s">
        <v>24284</v>
      </c>
      <c r="D22789" s="171" t="s">
        <v>80</v>
      </c>
      <c r="E22789" s="11">
        <v>45566</v>
      </c>
      <c r="F22789">
        <v>3</v>
      </c>
      <c r="G22789">
        <v>3</v>
      </c>
      <c r="I22789">
        <v>8</v>
      </c>
      <c r="J22789">
        <v>17</v>
      </c>
      <c r="L22789">
        <v>17</v>
      </c>
      <c r="N22789">
        <v>4</v>
      </c>
      <c r="P22789">
        <v>0</v>
      </c>
      <c r="Q22789">
        <v>0</v>
      </c>
      <c r="S22789">
        <v>4</v>
      </c>
    </row>
    <row r="22790" spans="1:19" x14ac:dyDescent="0.3">
      <c r="A22790" t="str">
        <f t="shared" si="19"/>
        <v>CatholicFFT FFOct-24</v>
      </c>
      <c r="B22790" s="171" t="s">
        <v>45708</v>
      </c>
      <c r="C22790" s="171" t="s">
        <v>18126</v>
      </c>
      <c r="D22790" s="171" t="s">
        <v>80</v>
      </c>
      <c r="E22790" s="11">
        <v>45566</v>
      </c>
      <c r="F22790">
        <v>0</v>
      </c>
      <c r="G22790">
        <v>0</v>
      </c>
      <c r="I22790">
        <v>0</v>
      </c>
      <c r="J22790">
        <v>0</v>
      </c>
      <c r="L22790">
        <v>0</v>
      </c>
      <c r="N22790">
        <v>0</v>
      </c>
      <c r="P22790">
        <v>0</v>
      </c>
      <c r="Q22790">
        <v>0</v>
      </c>
      <c r="S22790">
        <v>0</v>
      </c>
    </row>
    <row r="22791" spans="1:19" x14ac:dyDescent="0.3">
      <c r="A22791" t="str">
        <f t="shared" si="19"/>
        <v>First Home CareFFT FFOct-24</v>
      </c>
      <c r="B22791" s="171" t="s">
        <v>45709</v>
      </c>
      <c r="C22791" s="171" t="s">
        <v>128</v>
      </c>
      <c r="D22791" s="171" t="s">
        <v>80</v>
      </c>
      <c r="E22791" s="11">
        <v>45566</v>
      </c>
      <c r="F22791">
        <v>0</v>
      </c>
      <c r="G22791">
        <v>0</v>
      </c>
      <c r="I22791">
        <v>0</v>
      </c>
      <c r="J22791">
        <v>0</v>
      </c>
      <c r="L22791">
        <v>0</v>
      </c>
      <c r="N22791">
        <v>0</v>
      </c>
      <c r="P22791">
        <v>0</v>
      </c>
      <c r="Q22791">
        <v>0</v>
      </c>
      <c r="S22791">
        <v>0</v>
      </c>
    </row>
    <row r="22792" spans="1:19" x14ac:dyDescent="0.3">
      <c r="A22792" t="str">
        <f t="shared" si="19"/>
        <v>Foundations for Home &amp; CommunityFFT FFOct-24</v>
      </c>
      <c r="B22792" s="171" t="s">
        <v>45710</v>
      </c>
      <c r="C22792" s="171" t="s">
        <v>14824</v>
      </c>
      <c r="D22792" s="171" t="s">
        <v>80</v>
      </c>
      <c r="E22792" s="11">
        <v>45566</v>
      </c>
      <c r="F22792">
        <v>0</v>
      </c>
      <c r="G22792">
        <v>0</v>
      </c>
      <c r="I22792">
        <v>0</v>
      </c>
      <c r="J22792">
        <v>0</v>
      </c>
      <c r="L22792">
        <v>0</v>
      </c>
      <c r="N22792">
        <v>0</v>
      </c>
      <c r="P22792">
        <v>0</v>
      </c>
      <c r="Q22792">
        <v>0</v>
      </c>
      <c r="S22792">
        <v>0</v>
      </c>
    </row>
    <row r="22793" spans="1:19" x14ac:dyDescent="0.3">
      <c r="A22793" t="str">
        <f t="shared" si="19"/>
        <v>HillcrestFFT FFOct-24</v>
      </c>
      <c r="B22793" s="171" t="s">
        <v>45711</v>
      </c>
      <c r="C22793" s="171" t="s">
        <v>152</v>
      </c>
      <c r="D22793" s="171" t="s">
        <v>80</v>
      </c>
      <c r="E22793" s="11">
        <v>45566</v>
      </c>
      <c r="F22793">
        <v>0</v>
      </c>
      <c r="G22793">
        <v>0</v>
      </c>
      <c r="I22793">
        <v>0</v>
      </c>
      <c r="J22793">
        <v>0</v>
      </c>
      <c r="L22793">
        <v>0</v>
      </c>
      <c r="N22793">
        <v>0</v>
      </c>
      <c r="P22793">
        <v>0</v>
      </c>
      <c r="Q22793">
        <v>0</v>
      </c>
      <c r="S22793">
        <v>0</v>
      </c>
    </row>
    <row r="22794" spans="1:19" x14ac:dyDescent="0.3">
      <c r="A22794" t="str">
        <f t="shared" si="19"/>
        <v>PASSFFT FFOct-24</v>
      </c>
      <c r="B22794" s="171" t="s">
        <v>45712</v>
      </c>
      <c r="C22794" s="171" t="s">
        <v>194</v>
      </c>
      <c r="D22794" s="171" t="s">
        <v>80</v>
      </c>
      <c r="E22794" s="11">
        <v>45566</v>
      </c>
      <c r="F22794">
        <v>2</v>
      </c>
      <c r="G22794">
        <v>5</v>
      </c>
      <c r="I22794">
        <v>12</v>
      </c>
      <c r="J22794">
        <v>12</v>
      </c>
      <c r="L22794">
        <v>27</v>
      </c>
      <c r="N22794">
        <v>9</v>
      </c>
      <c r="P22794">
        <v>0</v>
      </c>
      <c r="Q22794">
        <v>0</v>
      </c>
      <c r="S22794">
        <v>3</v>
      </c>
    </row>
    <row r="22795" spans="1:19" x14ac:dyDescent="0.3">
      <c r="A22795" t="str">
        <f t="shared" si="19"/>
        <v>Better MorningsIHCBS FFOct-24</v>
      </c>
      <c r="B22795" s="171" t="s">
        <v>45713</v>
      </c>
      <c r="C22795" s="171" t="s">
        <v>39930</v>
      </c>
      <c r="D22795" s="171" t="s">
        <v>80</v>
      </c>
      <c r="E22795" s="11">
        <v>45566</v>
      </c>
      <c r="F22795">
        <v>4</v>
      </c>
      <c r="G22795">
        <v>4</v>
      </c>
      <c r="I22795">
        <v>13</v>
      </c>
      <c r="J22795">
        <v>16</v>
      </c>
      <c r="L22795">
        <v>16</v>
      </c>
      <c r="N22795">
        <v>8</v>
      </c>
      <c r="P22795">
        <v>5</v>
      </c>
      <c r="Q22795">
        <v>5</v>
      </c>
      <c r="S22795">
        <v>5</v>
      </c>
    </row>
    <row r="22796" spans="1:19" x14ac:dyDescent="0.3">
      <c r="A22796" t="str">
        <f t="shared" si="19"/>
        <v>HillcrestIHCBS FFOct-24</v>
      </c>
      <c r="B22796" s="171" t="s">
        <v>45714</v>
      </c>
      <c r="C22796" s="171" t="s">
        <v>39933</v>
      </c>
      <c r="D22796" s="171" t="s">
        <v>80</v>
      </c>
      <c r="E22796" s="11">
        <v>45566</v>
      </c>
      <c r="F22796">
        <v>3</v>
      </c>
      <c r="G22796">
        <v>4</v>
      </c>
      <c r="I22796">
        <v>16</v>
      </c>
      <c r="J22796">
        <v>12</v>
      </c>
      <c r="L22796">
        <v>16</v>
      </c>
      <c r="N22796">
        <v>13</v>
      </c>
      <c r="P22796">
        <v>1</v>
      </c>
      <c r="Q22796">
        <v>3</v>
      </c>
      <c r="S22796">
        <v>3</v>
      </c>
    </row>
    <row r="22797" spans="1:19" x14ac:dyDescent="0.3">
      <c r="A22797" t="str">
        <f t="shared" si="19"/>
        <v>LESIHCBS FFOct-24</v>
      </c>
      <c r="B22797" s="171" t="s">
        <v>45715</v>
      </c>
      <c r="C22797" s="171" t="s">
        <v>39936</v>
      </c>
      <c r="D22797" s="171" t="s">
        <v>80</v>
      </c>
      <c r="E22797" s="11">
        <v>45566</v>
      </c>
      <c r="F22797">
        <v>0</v>
      </c>
      <c r="G22797">
        <v>0</v>
      </c>
      <c r="I22797">
        <v>0</v>
      </c>
      <c r="J22797">
        <v>0</v>
      </c>
      <c r="L22797">
        <v>0</v>
      </c>
      <c r="N22797">
        <v>0</v>
      </c>
      <c r="P22797">
        <v>0</v>
      </c>
      <c r="Q22797">
        <v>0</v>
      </c>
      <c r="S22797">
        <v>0</v>
      </c>
    </row>
    <row r="22798" spans="1:19" x14ac:dyDescent="0.3">
      <c r="A22798" t="str">
        <f t="shared" si="19"/>
        <v>MBI HSIHCBS FFOct-24</v>
      </c>
      <c r="B22798" s="171" t="s">
        <v>45716</v>
      </c>
      <c r="C22798" s="171" t="s">
        <v>39939</v>
      </c>
      <c r="D22798" s="171" t="s">
        <v>80</v>
      </c>
      <c r="E22798" s="11">
        <v>45566</v>
      </c>
      <c r="F22798">
        <v>2</v>
      </c>
      <c r="G22798">
        <v>2</v>
      </c>
      <c r="I22798">
        <v>6</v>
      </c>
      <c r="J22798">
        <v>8</v>
      </c>
      <c r="L22798">
        <v>8</v>
      </c>
      <c r="N22798">
        <v>4</v>
      </c>
      <c r="P22798">
        <v>1</v>
      </c>
      <c r="Q22798">
        <v>2</v>
      </c>
      <c r="S22798">
        <v>2</v>
      </c>
    </row>
    <row r="22799" spans="1:19" x14ac:dyDescent="0.3">
      <c r="A22799" t="str">
        <f t="shared" si="19"/>
        <v>MD Family ResourcesIHCBS FFOct-24</v>
      </c>
      <c r="B22799" s="171" t="s">
        <v>45717</v>
      </c>
      <c r="C22799" s="171" t="s">
        <v>39942</v>
      </c>
      <c r="D22799" s="171" t="s">
        <v>80</v>
      </c>
      <c r="E22799" s="11">
        <v>45566</v>
      </c>
      <c r="F22799">
        <v>0</v>
      </c>
      <c r="G22799">
        <v>4</v>
      </c>
      <c r="I22799">
        <v>0</v>
      </c>
      <c r="J22799">
        <v>0</v>
      </c>
      <c r="L22799">
        <v>16</v>
      </c>
      <c r="N22799">
        <v>0</v>
      </c>
      <c r="P22799">
        <v>0</v>
      </c>
      <c r="Q22799">
        <v>0</v>
      </c>
      <c r="S22799">
        <v>0</v>
      </c>
    </row>
    <row r="22800" spans="1:19" x14ac:dyDescent="0.3">
      <c r="A22800" t="str">
        <f t="shared" si="19"/>
        <v>LCSMST FFOct-24</v>
      </c>
      <c r="B22800" s="171" t="s">
        <v>45718</v>
      </c>
      <c r="C22800" s="171" t="s">
        <v>18137</v>
      </c>
      <c r="D22800" s="171" t="s">
        <v>80</v>
      </c>
      <c r="E22800" s="11">
        <v>45566</v>
      </c>
      <c r="F22800">
        <v>0</v>
      </c>
      <c r="G22800">
        <v>0</v>
      </c>
      <c r="I22800">
        <v>0</v>
      </c>
      <c r="J22800">
        <v>0</v>
      </c>
      <c r="L22800">
        <v>0</v>
      </c>
      <c r="N22800">
        <v>0</v>
      </c>
      <c r="P22800">
        <v>0</v>
      </c>
      <c r="Q22800">
        <v>0</v>
      </c>
      <c r="S22800">
        <v>0</v>
      </c>
    </row>
    <row r="22801" spans="1:19" x14ac:dyDescent="0.3">
      <c r="A22801" t="str">
        <f t="shared" si="19"/>
        <v>MBI HSMST FFOct-24</v>
      </c>
      <c r="B22801" s="171" t="s">
        <v>45719</v>
      </c>
      <c r="C22801" s="171" t="s">
        <v>18140</v>
      </c>
      <c r="D22801" s="171" t="s">
        <v>80</v>
      </c>
      <c r="E22801" s="11">
        <v>45566</v>
      </c>
      <c r="F22801">
        <v>2</v>
      </c>
      <c r="G22801">
        <v>4</v>
      </c>
      <c r="I22801">
        <v>10</v>
      </c>
      <c r="J22801">
        <v>10</v>
      </c>
      <c r="L22801">
        <v>20</v>
      </c>
      <c r="N22801">
        <v>9</v>
      </c>
      <c r="P22801">
        <v>1</v>
      </c>
      <c r="Q22801">
        <v>1</v>
      </c>
      <c r="S22801">
        <v>1</v>
      </c>
    </row>
    <row r="22802" spans="1:19" x14ac:dyDescent="0.3">
      <c r="A22802" t="str">
        <f t="shared" si="19"/>
        <v>Youth VillagesMST FFOct-24</v>
      </c>
      <c r="B22802" s="171" t="s">
        <v>45720</v>
      </c>
      <c r="C22802" s="171" t="s">
        <v>236</v>
      </c>
      <c r="D22802" s="171" t="s">
        <v>80</v>
      </c>
      <c r="E22802" s="11">
        <v>45566</v>
      </c>
      <c r="F22802">
        <v>0</v>
      </c>
      <c r="G22802">
        <v>0</v>
      </c>
      <c r="I22802">
        <v>0</v>
      </c>
      <c r="J22802">
        <v>0</v>
      </c>
      <c r="L22802">
        <v>0</v>
      </c>
      <c r="N22802">
        <v>0</v>
      </c>
      <c r="P22802">
        <v>0</v>
      </c>
      <c r="Q22802">
        <v>0</v>
      </c>
      <c r="S22802">
        <v>0</v>
      </c>
    </row>
    <row r="22803" spans="1:19" x14ac:dyDescent="0.3">
      <c r="A22803" t="str">
        <f t="shared" si="19"/>
        <v>Youth VillagesMST-PSB FFOct-24</v>
      </c>
      <c r="B22803" s="171" t="s">
        <v>45721</v>
      </c>
      <c r="C22803" s="171" t="s">
        <v>239</v>
      </c>
      <c r="D22803" s="171" t="s">
        <v>80</v>
      </c>
      <c r="E22803" s="11">
        <v>45566</v>
      </c>
      <c r="F22803">
        <v>0</v>
      </c>
      <c r="G22803">
        <v>0</v>
      </c>
      <c r="I22803">
        <v>0</v>
      </c>
      <c r="J22803">
        <v>0</v>
      </c>
      <c r="L22803">
        <v>0</v>
      </c>
      <c r="N22803">
        <v>0</v>
      </c>
      <c r="P22803">
        <v>0</v>
      </c>
      <c r="Q22803">
        <v>0</v>
      </c>
      <c r="S22803">
        <v>0</v>
      </c>
    </row>
    <row r="22804" spans="1:19" x14ac:dyDescent="0.3">
      <c r="A22804" t="str">
        <f t="shared" si="19"/>
        <v>Marys CenterPCIT FFOct-24</v>
      </c>
      <c r="B22804" s="171" t="s">
        <v>45722</v>
      </c>
      <c r="C22804" s="171" t="s">
        <v>176</v>
      </c>
      <c r="D22804" s="171" t="s">
        <v>80</v>
      </c>
      <c r="E22804" s="11">
        <v>45566</v>
      </c>
      <c r="F22804">
        <v>2</v>
      </c>
      <c r="G22804">
        <v>2</v>
      </c>
      <c r="I22804">
        <v>1</v>
      </c>
      <c r="J22804">
        <v>11</v>
      </c>
      <c r="L22804">
        <v>11</v>
      </c>
      <c r="N22804">
        <v>1</v>
      </c>
      <c r="P22804">
        <v>0</v>
      </c>
      <c r="Q22804">
        <v>0</v>
      </c>
      <c r="S22804">
        <v>0</v>
      </c>
    </row>
    <row r="22805" spans="1:19" x14ac:dyDescent="0.3">
      <c r="A22805" t="str">
        <f t="shared" si="19"/>
        <v>PIECEPCIT FFOct-24</v>
      </c>
      <c r="B22805" s="171" t="s">
        <v>45723</v>
      </c>
      <c r="C22805" s="171" t="s">
        <v>206</v>
      </c>
      <c r="D22805" s="171" t="s">
        <v>80</v>
      </c>
      <c r="E22805" s="11">
        <v>45566</v>
      </c>
      <c r="F22805">
        <v>1.5</v>
      </c>
      <c r="G22805">
        <v>1.5</v>
      </c>
      <c r="I22805">
        <v>2</v>
      </c>
      <c r="J22805">
        <v>7</v>
      </c>
      <c r="L22805">
        <v>7</v>
      </c>
      <c r="N22805">
        <v>2</v>
      </c>
      <c r="P22805">
        <v>0</v>
      </c>
      <c r="Q22805">
        <v>0</v>
      </c>
      <c r="S22805">
        <v>0</v>
      </c>
    </row>
    <row r="22806" spans="1:19" x14ac:dyDescent="0.3">
      <c r="A22806" t="str">
        <f t="shared" si="19"/>
        <v>Marys CenterPCIT DCSOct-24</v>
      </c>
      <c r="B22806" s="171" t="s">
        <v>45724</v>
      </c>
      <c r="C22806" s="171" t="s">
        <v>176</v>
      </c>
      <c r="D22806" s="171" t="s">
        <v>15341</v>
      </c>
      <c r="E22806" s="11">
        <v>45566</v>
      </c>
      <c r="F22806">
        <v>0</v>
      </c>
      <c r="G22806">
        <v>0</v>
      </c>
      <c r="I22806">
        <v>0</v>
      </c>
      <c r="J22806">
        <v>0</v>
      </c>
      <c r="L22806">
        <v>0</v>
      </c>
      <c r="N22806">
        <v>0</v>
      </c>
      <c r="P22806">
        <v>0</v>
      </c>
      <c r="Q22806">
        <v>0</v>
      </c>
      <c r="S22806">
        <v>0</v>
      </c>
    </row>
    <row r="22807" spans="1:19" x14ac:dyDescent="0.3">
      <c r="A22807" t="str">
        <f t="shared" si="19"/>
        <v>PIECEPCIT DCSOct-24</v>
      </c>
      <c r="B22807" s="171" t="s">
        <v>45725</v>
      </c>
      <c r="C22807" s="171" t="s">
        <v>206</v>
      </c>
      <c r="D22807" s="171" t="s">
        <v>15341</v>
      </c>
      <c r="E22807" s="11">
        <v>45566</v>
      </c>
      <c r="F22807">
        <v>0</v>
      </c>
      <c r="G22807">
        <v>0</v>
      </c>
      <c r="I22807">
        <v>0</v>
      </c>
      <c r="J22807">
        <v>0</v>
      </c>
      <c r="L22807">
        <v>0</v>
      </c>
      <c r="N22807">
        <v>0</v>
      </c>
      <c r="P22807">
        <v>0</v>
      </c>
      <c r="Q22807">
        <v>0</v>
      </c>
      <c r="S22807">
        <v>0</v>
      </c>
    </row>
    <row r="22808" spans="1:19" x14ac:dyDescent="0.3">
      <c r="A22808" t="str">
        <f t="shared" si="19"/>
        <v>Community ConnectionsPCIT DCSOct-24</v>
      </c>
      <c r="B22808" s="171" t="s">
        <v>45726</v>
      </c>
      <c r="C22808" s="171" t="s">
        <v>16544</v>
      </c>
      <c r="D22808" s="171" t="s">
        <v>15341</v>
      </c>
      <c r="E22808" s="11">
        <v>45566</v>
      </c>
      <c r="F22808">
        <v>0</v>
      </c>
      <c r="G22808">
        <v>0</v>
      </c>
      <c r="I22808">
        <v>0</v>
      </c>
      <c r="J22808">
        <v>0</v>
      </c>
      <c r="L22808">
        <v>0</v>
      </c>
      <c r="N22808">
        <v>0</v>
      </c>
      <c r="P22808">
        <v>0</v>
      </c>
      <c r="Q22808">
        <v>0</v>
      </c>
      <c r="S22808">
        <v>0</v>
      </c>
    </row>
    <row r="22809" spans="1:19" x14ac:dyDescent="0.3">
      <c r="A22809" t="str">
        <f t="shared" si="19"/>
        <v>Community ConnectionsPCIT FFOct-24</v>
      </c>
      <c r="B22809" s="171" t="s">
        <v>45727</v>
      </c>
      <c r="C22809" s="171" t="s">
        <v>16544</v>
      </c>
      <c r="D22809" s="171" t="s">
        <v>80</v>
      </c>
      <c r="E22809" s="11">
        <v>45566</v>
      </c>
      <c r="F22809">
        <v>0</v>
      </c>
      <c r="G22809">
        <v>0</v>
      </c>
      <c r="I22809">
        <v>0</v>
      </c>
      <c r="J22809">
        <v>0</v>
      </c>
      <c r="L22809">
        <v>0</v>
      </c>
      <c r="N22809">
        <v>0</v>
      </c>
      <c r="P22809">
        <v>0</v>
      </c>
      <c r="Q22809">
        <v>0</v>
      </c>
      <c r="S22809">
        <v>0</v>
      </c>
    </row>
    <row r="22810" spans="1:19" x14ac:dyDescent="0.3">
      <c r="A22810" t="str">
        <f t="shared" si="19"/>
        <v>Medstar GeorgetownPCIT DCSOct-24</v>
      </c>
      <c r="B22810" s="171" t="s">
        <v>45728</v>
      </c>
      <c r="C22810" s="171" t="s">
        <v>24315</v>
      </c>
      <c r="D22810" s="171" t="s">
        <v>15341</v>
      </c>
      <c r="E22810" s="11">
        <v>45566</v>
      </c>
      <c r="F22810">
        <v>0</v>
      </c>
      <c r="G22810">
        <v>0</v>
      </c>
      <c r="I22810">
        <v>0</v>
      </c>
      <c r="J22810">
        <v>0</v>
      </c>
      <c r="L22810">
        <v>0</v>
      </c>
      <c r="N22810">
        <v>0</v>
      </c>
      <c r="P22810">
        <v>0</v>
      </c>
      <c r="Q22810">
        <v>0</v>
      </c>
      <c r="S22810">
        <v>0</v>
      </c>
    </row>
    <row r="22811" spans="1:19" x14ac:dyDescent="0.3">
      <c r="A22811" t="str">
        <f t="shared" si="19"/>
        <v>Medstar GeorgetownPCIT FFOct-24</v>
      </c>
      <c r="B22811" s="171" t="s">
        <v>45729</v>
      </c>
      <c r="C22811" s="171" t="s">
        <v>24315</v>
      </c>
      <c r="D22811" s="171" t="s">
        <v>80</v>
      </c>
      <c r="E22811" s="11">
        <v>45566</v>
      </c>
      <c r="F22811">
        <v>0</v>
      </c>
      <c r="G22811">
        <v>0</v>
      </c>
      <c r="I22811">
        <v>0</v>
      </c>
      <c r="J22811">
        <v>0</v>
      </c>
      <c r="L22811">
        <v>0</v>
      </c>
      <c r="N22811">
        <v>0</v>
      </c>
      <c r="P22811">
        <v>0</v>
      </c>
      <c r="Q22811">
        <v>0</v>
      </c>
      <c r="S22811">
        <v>0</v>
      </c>
    </row>
    <row r="22812" spans="1:19" x14ac:dyDescent="0.3">
      <c r="A22812" t="str">
        <f t="shared" si="19"/>
        <v>Marys CenterPCIT-T FFOct-24</v>
      </c>
      <c r="B22812" s="171" t="s">
        <v>45730</v>
      </c>
      <c r="C22812" s="171" t="s">
        <v>34833</v>
      </c>
      <c r="D22812" s="171" t="s">
        <v>80</v>
      </c>
      <c r="E22812" s="11">
        <v>45566</v>
      </c>
      <c r="F22812">
        <v>1.5</v>
      </c>
      <c r="G22812">
        <v>2</v>
      </c>
      <c r="I22812">
        <v>1</v>
      </c>
      <c r="J22812">
        <v>9</v>
      </c>
      <c r="L22812">
        <v>11</v>
      </c>
      <c r="N22812">
        <v>1</v>
      </c>
      <c r="P22812">
        <v>0</v>
      </c>
      <c r="Q22812">
        <v>0</v>
      </c>
      <c r="S22812">
        <v>0</v>
      </c>
    </row>
    <row r="22813" spans="1:19" x14ac:dyDescent="0.3">
      <c r="A22813" t="str">
        <f t="shared" si="19"/>
        <v>PIECEPCIT-T FFOct-24</v>
      </c>
      <c r="B22813" s="171" t="s">
        <v>45731</v>
      </c>
      <c r="C22813" s="171" t="s">
        <v>34836</v>
      </c>
      <c r="D22813" s="171" t="s">
        <v>80</v>
      </c>
      <c r="E22813" s="11">
        <v>45566</v>
      </c>
      <c r="F22813">
        <v>1.5</v>
      </c>
      <c r="G22813">
        <v>1.5</v>
      </c>
      <c r="I22813">
        <v>2</v>
      </c>
      <c r="J22813">
        <v>7</v>
      </c>
      <c r="L22813">
        <v>7</v>
      </c>
      <c r="N22813">
        <v>2</v>
      </c>
      <c r="P22813">
        <v>0</v>
      </c>
      <c r="Q22813">
        <v>0</v>
      </c>
      <c r="S22813">
        <v>0</v>
      </c>
    </row>
    <row r="22814" spans="1:19" x14ac:dyDescent="0.3">
      <c r="A22814" t="str">
        <f t="shared" si="19"/>
        <v>Community ConnectionsTF-CBT FFOct-24</v>
      </c>
      <c r="B22814" s="171" t="s">
        <v>45732</v>
      </c>
      <c r="C22814" s="171" t="s">
        <v>113</v>
      </c>
      <c r="D22814" s="171" t="s">
        <v>80</v>
      </c>
      <c r="E22814" s="11">
        <v>45566</v>
      </c>
      <c r="F22814">
        <v>0</v>
      </c>
      <c r="G22814">
        <v>0</v>
      </c>
      <c r="I22814">
        <v>0</v>
      </c>
      <c r="J22814">
        <v>0</v>
      </c>
      <c r="L22814">
        <v>0</v>
      </c>
      <c r="N22814">
        <v>0</v>
      </c>
      <c r="P22814">
        <v>0</v>
      </c>
      <c r="Q22814">
        <v>0</v>
      </c>
      <c r="S22814">
        <v>0</v>
      </c>
    </row>
    <row r="22815" spans="1:19" x14ac:dyDescent="0.3">
      <c r="A22815" t="str">
        <f t="shared" si="19"/>
        <v>First Home CareTF-CBT FFOct-24</v>
      </c>
      <c r="B22815" s="171" t="s">
        <v>45733</v>
      </c>
      <c r="C22815" s="171" t="s">
        <v>131</v>
      </c>
      <c r="D22815" s="171" t="s">
        <v>80</v>
      </c>
      <c r="E22815" s="11">
        <v>45566</v>
      </c>
      <c r="F22815">
        <v>0</v>
      </c>
      <c r="G22815">
        <v>0</v>
      </c>
      <c r="I22815">
        <v>0</v>
      </c>
      <c r="J22815">
        <v>0</v>
      </c>
      <c r="L22815">
        <v>0</v>
      </c>
      <c r="N22815">
        <v>0</v>
      </c>
      <c r="P22815">
        <v>0</v>
      </c>
      <c r="Q22815">
        <v>0</v>
      </c>
      <c r="S22815">
        <v>0</v>
      </c>
    </row>
    <row r="22816" spans="1:19" x14ac:dyDescent="0.3">
      <c r="A22816" t="str">
        <f t="shared" si="19"/>
        <v>Foundations for Home &amp; CommunityTF-CBT FFOct-24</v>
      </c>
      <c r="B22816" s="171" t="s">
        <v>45734</v>
      </c>
      <c r="C22816" s="171" t="s">
        <v>14843</v>
      </c>
      <c r="D22816" s="171" t="s">
        <v>80</v>
      </c>
      <c r="E22816" s="11">
        <v>45566</v>
      </c>
      <c r="F22816">
        <v>0</v>
      </c>
      <c r="G22816">
        <v>0</v>
      </c>
      <c r="I22816">
        <v>0</v>
      </c>
      <c r="J22816">
        <v>0</v>
      </c>
      <c r="L22816">
        <v>0</v>
      </c>
      <c r="N22816">
        <v>0</v>
      </c>
      <c r="P22816">
        <v>0</v>
      </c>
      <c r="Q22816">
        <v>0</v>
      </c>
      <c r="S22816">
        <v>0</v>
      </c>
    </row>
    <row r="22817" spans="1:19" x14ac:dyDescent="0.3">
      <c r="A22817" t="str">
        <f t="shared" si="19"/>
        <v>HillcrestTF-CBT FFOct-24</v>
      </c>
      <c r="B22817" s="171" t="s">
        <v>45735</v>
      </c>
      <c r="C22817" s="171" t="s">
        <v>155</v>
      </c>
      <c r="D22817" s="171" t="s">
        <v>80</v>
      </c>
      <c r="E22817" s="11">
        <v>45566</v>
      </c>
      <c r="F22817">
        <v>3.5</v>
      </c>
      <c r="G22817">
        <v>6</v>
      </c>
      <c r="I22817">
        <v>6</v>
      </c>
      <c r="J22817">
        <v>20</v>
      </c>
      <c r="L22817">
        <v>31</v>
      </c>
      <c r="N22817">
        <v>4</v>
      </c>
      <c r="P22817">
        <v>1</v>
      </c>
      <c r="Q22817">
        <v>1</v>
      </c>
      <c r="S22817">
        <v>2</v>
      </c>
    </row>
    <row r="22818" spans="1:19" x14ac:dyDescent="0.3">
      <c r="A22818" t="str">
        <f t="shared" si="19"/>
        <v>LAYCTF-CBT FFOct-24</v>
      </c>
      <c r="B22818" s="171" t="s">
        <v>45736</v>
      </c>
      <c r="C22818" s="171" t="s">
        <v>16232</v>
      </c>
      <c r="D22818" s="171" t="s">
        <v>80</v>
      </c>
      <c r="E22818" s="11">
        <v>45566</v>
      </c>
      <c r="F22818">
        <v>2</v>
      </c>
      <c r="G22818">
        <v>3.5</v>
      </c>
      <c r="I22818">
        <v>6</v>
      </c>
      <c r="J22818">
        <v>12</v>
      </c>
      <c r="L22818">
        <v>21</v>
      </c>
      <c r="N22818">
        <v>3</v>
      </c>
      <c r="P22818">
        <v>0</v>
      </c>
      <c r="Q22818">
        <v>0</v>
      </c>
      <c r="S22818">
        <v>3</v>
      </c>
    </row>
    <row r="22819" spans="1:19" x14ac:dyDescent="0.3">
      <c r="A22819" t="str">
        <f t="shared" si="19"/>
        <v>LESTF-CBT FFOct-24</v>
      </c>
      <c r="B22819" s="171" t="s">
        <v>45737</v>
      </c>
      <c r="C22819" s="171" t="s">
        <v>16557</v>
      </c>
      <c r="D22819" s="171" t="s">
        <v>80</v>
      </c>
      <c r="E22819" s="11">
        <v>45566</v>
      </c>
      <c r="F22819">
        <v>0</v>
      </c>
      <c r="G22819">
        <v>0</v>
      </c>
      <c r="I22819">
        <v>0</v>
      </c>
      <c r="J22819">
        <v>0</v>
      </c>
      <c r="L22819">
        <v>0</v>
      </c>
      <c r="N22819">
        <v>0</v>
      </c>
      <c r="P22819">
        <v>0</v>
      </c>
      <c r="Q22819">
        <v>0</v>
      </c>
      <c r="S22819">
        <v>0</v>
      </c>
    </row>
    <row r="22820" spans="1:19" x14ac:dyDescent="0.3">
      <c r="A22820" t="str">
        <f t="shared" si="19"/>
        <v>MD Family ResourcesTF-CBT FFOct-24</v>
      </c>
      <c r="B22820" s="171" t="s">
        <v>45738</v>
      </c>
      <c r="C22820" s="171" t="s">
        <v>188</v>
      </c>
      <c r="D22820" s="171" t="s">
        <v>80</v>
      </c>
      <c r="E22820" s="11">
        <v>45566</v>
      </c>
      <c r="F22820">
        <v>1.5</v>
      </c>
      <c r="G22820">
        <v>3.5</v>
      </c>
      <c r="I22820">
        <v>3</v>
      </c>
      <c r="J22820">
        <v>8</v>
      </c>
      <c r="L22820">
        <v>20</v>
      </c>
      <c r="N22820">
        <v>3</v>
      </c>
      <c r="P22820">
        <v>1</v>
      </c>
      <c r="Q22820">
        <v>1</v>
      </c>
      <c r="S22820">
        <v>0</v>
      </c>
    </row>
    <row r="22821" spans="1:19" x14ac:dyDescent="0.3">
      <c r="A22821" t="str">
        <f t="shared" si="19"/>
        <v>UniversalTF-CBT FFOct-24</v>
      </c>
      <c r="B22821" s="171" t="s">
        <v>45739</v>
      </c>
      <c r="C22821" s="171" t="s">
        <v>227</v>
      </c>
      <c r="D22821" s="171" t="s">
        <v>80</v>
      </c>
      <c r="E22821" s="11">
        <v>45566</v>
      </c>
      <c r="F22821">
        <v>0</v>
      </c>
      <c r="G22821">
        <v>0</v>
      </c>
      <c r="I22821">
        <v>0</v>
      </c>
      <c r="J22821">
        <v>0</v>
      </c>
      <c r="L22821">
        <v>0</v>
      </c>
      <c r="N22821">
        <v>0</v>
      </c>
      <c r="P22821">
        <v>0</v>
      </c>
      <c r="Q22821">
        <v>0</v>
      </c>
      <c r="S22821">
        <v>0</v>
      </c>
    </row>
    <row r="22822" spans="1:19" x14ac:dyDescent="0.3">
      <c r="A22822" t="str">
        <f t="shared" si="19"/>
        <v>Community ConnectionsTIP FFOct-24</v>
      </c>
      <c r="B22822" s="171" t="s">
        <v>45740</v>
      </c>
      <c r="C22822" s="171" t="s">
        <v>116</v>
      </c>
      <c r="D22822" s="171" t="s">
        <v>80</v>
      </c>
      <c r="E22822" s="11">
        <v>45566</v>
      </c>
      <c r="F22822">
        <v>0</v>
      </c>
      <c r="G22822">
        <v>0</v>
      </c>
      <c r="I22822">
        <v>0</v>
      </c>
      <c r="J22822">
        <v>0</v>
      </c>
      <c r="L22822">
        <v>0</v>
      </c>
      <c r="N22822">
        <v>0</v>
      </c>
      <c r="P22822">
        <v>0</v>
      </c>
      <c r="Q22822">
        <v>0</v>
      </c>
      <c r="S22822">
        <v>0</v>
      </c>
    </row>
    <row r="22823" spans="1:19" x14ac:dyDescent="0.3">
      <c r="A22823" t="str">
        <f t="shared" si="19"/>
        <v>ContemporaryTIP FFOct-24</v>
      </c>
      <c r="B22823" s="171" t="s">
        <v>45741</v>
      </c>
      <c r="C22823" s="171" t="s">
        <v>9862</v>
      </c>
      <c r="D22823" s="171" t="s">
        <v>80</v>
      </c>
      <c r="E22823" s="11">
        <v>45566</v>
      </c>
      <c r="F22823">
        <v>0</v>
      </c>
      <c r="G22823">
        <v>0</v>
      </c>
      <c r="I22823">
        <v>0</v>
      </c>
      <c r="J22823">
        <v>0</v>
      </c>
      <c r="L22823">
        <v>0</v>
      </c>
      <c r="N22823">
        <v>0</v>
      </c>
      <c r="P22823">
        <v>0</v>
      </c>
      <c r="Q22823">
        <v>0</v>
      </c>
      <c r="S22823">
        <v>0</v>
      </c>
    </row>
    <row r="22824" spans="1:19" x14ac:dyDescent="0.3">
      <c r="A22824" t="str">
        <f t="shared" si="19"/>
        <v>FPSTIP FFOct-24</v>
      </c>
      <c r="B22824" s="171" t="s">
        <v>45742</v>
      </c>
      <c r="C22824" s="171" t="s">
        <v>140</v>
      </c>
      <c r="D22824" s="171" t="s">
        <v>80</v>
      </c>
      <c r="E22824" s="11">
        <v>45566</v>
      </c>
      <c r="F22824">
        <v>0</v>
      </c>
      <c r="G22824">
        <v>0</v>
      </c>
      <c r="I22824">
        <v>0</v>
      </c>
      <c r="J22824">
        <v>0</v>
      </c>
      <c r="L22824">
        <v>0</v>
      </c>
      <c r="N22824">
        <v>0</v>
      </c>
      <c r="P22824">
        <v>0</v>
      </c>
      <c r="Q22824">
        <v>0</v>
      </c>
      <c r="S22824">
        <v>0</v>
      </c>
    </row>
    <row r="22825" spans="1:19" x14ac:dyDescent="0.3">
      <c r="A22825" t="str">
        <f t="shared" si="19"/>
        <v>Green DoorTIP FFOct-24</v>
      </c>
      <c r="B22825" s="171" t="s">
        <v>45743</v>
      </c>
      <c r="C22825" s="171" t="s">
        <v>8590</v>
      </c>
      <c r="D22825" s="171" t="s">
        <v>80</v>
      </c>
      <c r="E22825" s="11">
        <v>45566</v>
      </c>
      <c r="F22825">
        <v>0</v>
      </c>
      <c r="G22825">
        <v>0</v>
      </c>
      <c r="I22825">
        <v>0</v>
      </c>
      <c r="J22825">
        <v>0</v>
      </c>
      <c r="L22825">
        <v>0</v>
      </c>
      <c r="N22825">
        <v>0</v>
      </c>
      <c r="P22825">
        <v>0</v>
      </c>
      <c r="Q22825">
        <v>0</v>
      </c>
      <c r="S22825">
        <v>0</v>
      </c>
    </row>
    <row r="22826" spans="1:19" x14ac:dyDescent="0.3">
      <c r="A22826" t="str">
        <f t="shared" si="19"/>
        <v>LESTIP FFOct-24</v>
      </c>
      <c r="B22826" s="171" t="s">
        <v>45744</v>
      </c>
      <c r="C22826" s="171" t="s">
        <v>170</v>
      </c>
      <c r="D22826" s="171" t="s">
        <v>80</v>
      </c>
      <c r="E22826" s="11">
        <v>45566</v>
      </c>
      <c r="F22826">
        <v>2.5</v>
      </c>
      <c r="G22826">
        <v>2.5</v>
      </c>
      <c r="I22826">
        <v>12</v>
      </c>
      <c r="J22826">
        <v>35</v>
      </c>
      <c r="L22826">
        <v>35</v>
      </c>
      <c r="N22826">
        <v>12</v>
      </c>
      <c r="P22826">
        <v>0</v>
      </c>
      <c r="Q22826">
        <v>0</v>
      </c>
      <c r="S22826">
        <v>0</v>
      </c>
    </row>
    <row r="22827" spans="1:19" x14ac:dyDescent="0.3">
      <c r="A22827" t="str">
        <f t="shared" si="19"/>
        <v>MBI HSTIP FFOct-24</v>
      </c>
      <c r="B22827" s="171" t="s">
        <v>45745</v>
      </c>
      <c r="C22827" s="171" t="s">
        <v>182</v>
      </c>
      <c r="D22827" s="171" t="s">
        <v>80</v>
      </c>
      <c r="E22827" s="11">
        <v>45566</v>
      </c>
      <c r="F22827">
        <v>7</v>
      </c>
      <c r="G22827">
        <v>9</v>
      </c>
      <c r="I22827">
        <v>43</v>
      </c>
      <c r="J22827">
        <v>80</v>
      </c>
      <c r="L22827">
        <v>102</v>
      </c>
      <c r="N22827">
        <v>35</v>
      </c>
      <c r="P22827">
        <v>2</v>
      </c>
      <c r="Q22827">
        <v>2</v>
      </c>
      <c r="S22827">
        <v>8</v>
      </c>
    </row>
    <row r="22828" spans="1:19" x14ac:dyDescent="0.3">
      <c r="A22828" t="str">
        <f t="shared" si="19"/>
        <v>PASSTIP FFOct-24</v>
      </c>
      <c r="B22828" s="171" t="s">
        <v>45746</v>
      </c>
      <c r="C22828" s="171" t="s">
        <v>197</v>
      </c>
      <c r="D22828" s="171" t="s">
        <v>80</v>
      </c>
      <c r="E22828" s="11">
        <v>45566</v>
      </c>
      <c r="F22828">
        <v>8</v>
      </c>
      <c r="G22828">
        <v>8</v>
      </c>
      <c r="I22828">
        <v>64</v>
      </c>
      <c r="J22828">
        <v>80</v>
      </c>
      <c r="L22828">
        <v>80</v>
      </c>
      <c r="N22828">
        <v>58</v>
      </c>
      <c r="P22828">
        <v>9</v>
      </c>
      <c r="Q22828">
        <v>12</v>
      </c>
      <c r="S22828">
        <v>6</v>
      </c>
    </row>
    <row r="22829" spans="1:19" x14ac:dyDescent="0.3">
      <c r="A22829" t="str">
        <f t="shared" si="19"/>
        <v>TFCCTIP FFOct-24</v>
      </c>
      <c r="B22829" s="171" t="s">
        <v>45747</v>
      </c>
      <c r="C22829" s="171" t="s">
        <v>218</v>
      </c>
      <c r="D22829" s="171" t="s">
        <v>80</v>
      </c>
      <c r="E22829" s="11">
        <v>45566</v>
      </c>
      <c r="F22829">
        <v>0</v>
      </c>
      <c r="G22829">
        <v>0</v>
      </c>
      <c r="I22829">
        <v>0</v>
      </c>
      <c r="J22829">
        <v>0</v>
      </c>
      <c r="L22829">
        <v>0</v>
      </c>
      <c r="N22829">
        <v>0</v>
      </c>
      <c r="P22829">
        <v>0</v>
      </c>
      <c r="Q22829">
        <v>0</v>
      </c>
      <c r="S22829">
        <v>0</v>
      </c>
    </row>
    <row r="22830" spans="1:19" x14ac:dyDescent="0.3">
      <c r="A22830" t="str">
        <f t="shared" si="19"/>
        <v>UmbrellaTIP FFOct-24</v>
      </c>
      <c r="B22830" s="171" t="s">
        <v>45748</v>
      </c>
      <c r="C22830" s="171" t="s">
        <v>34871</v>
      </c>
      <c r="D22830" s="171" t="s">
        <v>80</v>
      </c>
      <c r="E22830" s="11">
        <v>45566</v>
      </c>
      <c r="F22830">
        <v>6</v>
      </c>
      <c r="G22830">
        <v>6</v>
      </c>
      <c r="I22830">
        <v>33</v>
      </c>
      <c r="J22830">
        <v>66</v>
      </c>
      <c r="L22830">
        <v>66</v>
      </c>
      <c r="N22830">
        <v>33</v>
      </c>
      <c r="P22830">
        <v>0</v>
      </c>
      <c r="Q22830">
        <v>0</v>
      </c>
      <c r="S22830">
        <v>0</v>
      </c>
    </row>
    <row r="22831" spans="1:19" x14ac:dyDescent="0.3">
      <c r="A22831" t="str">
        <f t="shared" si="19"/>
        <v>UniversalTIP FFOct-24</v>
      </c>
      <c r="B22831" s="171" t="s">
        <v>45749</v>
      </c>
      <c r="C22831" s="171" t="s">
        <v>230</v>
      </c>
      <c r="D22831" s="171" t="s">
        <v>80</v>
      </c>
      <c r="E22831" s="11">
        <v>45566</v>
      </c>
      <c r="F22831">
        <v>0</v>
      </c>
      <c r="G22831">
        <v>0</v>
      </c>
      <c r="I22831">
        <v>0</v>
      </c>
      <c r="J22831">
        <v>0</v>
      </c>
      <c r="L22831">
        <v>0</v>
      </c>
      <c r="N22831">
        <v>0</v>
      </c>
      <c r="P22831">
        <v>0</v>
      </c>
      <c r="Q22831">
        <v>0</v>
      </c>
      <c r="S22831">
        <v>0</v>
      </c>
    </row>
    <row r="22832" spans="1:19" x14ac:dyDescent="0.3">
      <c r="A22832" t="str">
        <f t="shared" si="19"/>
        <v>Wayne PlaceTIP FFOct-24</v>
      </c>
      <c r="B22832" s="171" t="s">
        <v>45750</v>
      </c>
      <c r="C22832" s="171" t="s">
        <v>8193</v>
      </c>
      <c r="D22832" s="171" t="s">
        <v>80</v>
      </c>
      <c r="E22832" s="11">
        <v>45566</v>
      </c>
      <c r="F22832">
        <v>2</v>
      </c>
      <c r="G22832">
        <v>3</v>
      </c>
      <c r="I22832">
        <v>10</v>
      </c>
      <c r="J22832">
        <v>22</v>
      </c>
      <c r="L22832">
        <v>33</v>
      </c>
      <c r="N22832">
        <v>10</v>
      </c>
      <c r="P22832">
        <v>5</v>
      </c>
      <c r="Q22832">
        <v>6</v>
      </c>
      <c r="S22832">
        <v>0</v>
      </c>
    </row>
    <row r="22833" spans="1:19" x14ac:dyDescent="0.3">
      <c r="A22833" t="str">
        <f t="shared" si="19"/>
        <v>Adoptions TogetherTST FFOct-24</v>
      </c>
      <c r="B22833" s="171" t="s">
        <v>45751</v>
      </c>
      <c r="C22833" s="171" t="s">
        <v>10522</v>
      </c>
      <c r="D22833" s="171" t="s">
        <v>80</v>
      </c>
      <c r="E22833" s="11">
        <v>45566</v>
      </c>
      <c r="F22833">
        <v>0</v>
      </c>
      <c r="G22833">
        <v>0</v>
      </c>
      <c r="I22833">
        <v>0</v>
      </c>
      <c r="J22833">
        <v>0</v>
      </c>
      <c r="L22833">
        <v>0</v>
      </c>
      <c r="N22833">
        <v>0</v>
      </c>
      <c r="P22833">
        <v>0</v>
      </c>
      <c r="Q22833">
        <v>0</v>
      </c>
      <c r="S22833">
        <v>0</v>
      </c>
    </row>
    <row r="22834" spans="1:19" x14ac:dyDescent="0.3">
      <c r="A22834" t="str">
        <f t="shared" si="19"/>
        <v>ContemporaryTST FFOct-24</v>
      </c>
      <c r="B22834" s="171" t="s">
        <v>45752</v>
      </c>
      <c r="C22834" s="171" t="s">
        <v>10525</v>
      </c>
      <c r="D22834" s="171" t="s">
        <v>80</v>
      </c>
      <c r="E22834" s="11">
        <v>45566</v>
      </c>
      <c r="F22834">
        <v>0</v>
      </c>
      <c r="G22834">
        <v>0</v>
      </c>
      <c r="I22834">
        <v>0</v>
      </c>
      <c r="J22834">
        <v>0</v>
      </c>
      <c r="L22834">
        <v>0</v>
      </c>
      <c r="N22834">
        <v>0</v>
      </c>
      <c r="P22834">
        <v>0</v>
      </c>
      <c r="Q22834">
        <v>0</v>
      </c>
      <c r="S22834">
        <v>0</v>
      </c>
    </row>
    <row r="22835" spans="1:19" x14ac:dyDescent="0.3">
      <c r="A22835" t="str">
        <f t="shared" ref="A22835:A22898" si="20">C22835&amp;" "&amp;D22835&amp;"Oct-24"</f>
        <v>Family MattersTST FFOct-24</v>
      </c>
      <c r="B22835" s="171" t="s">
        <v>45753</v>
      </c>
      <c r="C22835" s="171" t="s">
        <v>10528</v>
      </c>
      <c r="D22835" s="171" t="s">
        <v>80</v>
      </c>
      <c r="E22835" s="11">
        <v>45566</v>
      </c>
      <c r="F22835">
        <v>0</v>
      </c>
      <c r="G22835">
        <v>0</v>
      </c>
      <c r="I22835">
        <v>0</v>
      </c>
      <c r="J22835">
        <v>0</v>
      </c>
      <c r="L22835">
        <v>0</v>
      </c>
      <c r="N22835">
        <v>0</v>
      </c>
      <c r="P22835">
        <v>0</v>
      </c>
      <c r="Q22835">
        <v>0</v>
      </c>
      <c r="S22835">
        <v>0</v>
      </c>
    </row>
    <row r="22836" spans="1:19" x14ac:dyDescent="0.3">
      <c r="A22836" t="str">
        <f t="shared" si="20"/>
        <v>First Home CareTST FFOct-24</v>
      </c>
      <c r="B22836" s="171" t="s">
        <v>45754</v>
      </c>
      <c r="C22836" s="171" t="s">
        <v>10531</v>
      </c>
      <c r="D22836" s="171" t="s">
        <v>80</v>
      </c>
      <c r="E22836" s="11">
        <v>45566</v>
      </c>
      <c r="F22836">
        <v>0</v>
      </c>
      <c r="G22836">
        <v>0</v>
      </c>
      <c r="I22836">
        <v>0</v>
      </c>
      <c r="J22836">
        <v>0</v>
      </c>
      <c r="L22836">
        <v>0</v>
      </c>
      <c r="N22836">
        <v>0</v>
      </c>
      <c r="P22836">
        <v>0</v>
      </c>
      <c r="Q22836">
        <v>0</v>
      </c>
      <c r="S22836">
        <v>0</v>
      </c>
    </row>
    <row r="22837" spans="1:19" x14ac:dyDescent="0.3">
      <c r="A22837" t="str">
        <f t="shared" si="20"/>
        <v>Foundations for Home &amp; CommunityTST FFOct-24</v>
      </c>
      <c r="B22837" s="171" t="s">
        <v>45755</v>
      </c>
      <c r="C22837" s="171" t="s">
        <v>14880</v>
      </c>
      <c r="D22837" s="171" t="s">
        <v>80</v>
      </c>
      <c r="E22837" s="11">
        <v>45566</v>
      </c>
      <c r="F22837">
        <v>0</v>
      </c>
      <c r="G22837">
        <v>0</v>
      </c>
      <c r="I22837">
        <v>0</v>
      </c>
      <c r="J22837">
        <v>0</v>
      </c>
      <c r="L22837">
        <v>0</v>
      </c>
      <c r="N22837">
        <v>0</v>
      </c>
      <c r="P22837">
        <v>0</v>
      </c>
      <c r="Q22837">
        <v>0</v>
      </c>
      <c r="S22837">
        <v>0</v>
      </c>
    </row>
    <row r="22838" spans="1:19" x14ac:dyDescent="0.3">
      <c r="A22838" t="str">
        <f t="shared" si="20"/>
        <v>HillcrestTST FFOct-24</v>
      </c>
      <c r="B22838" s="171" t="s">
        <v>45756</v>
      </c>
      <c r="C22838" s="171" t="s">
        <v>10534</v>
      </c>
      <c r="D22838" s="171" t="s">
        <v>80</v>
      </c>
      <c r="E22838" s="11">
        <v>45566</v>
      </c>
      <c r="F22838">
        <v>1</v>
      </c>
      <c r="G22838">
        <v>1.5</v>
      </c>
      <c r="I22838">
        <v>6</v>
      </c>
      <c r="J22838">
        <v>5</v>
      </c>
      <c r="L22838">
        <v>8</v>
      </c>
      <c r="N22838">
        <v>6</v>
      </c>
      <c r="P22838">
        <v>0</v>
      </c>
      <c r="Q22838">
        <v>0</v>
      </c>
      <c r="S22838">
        <v>0</v>
      </c>
    </row>
    <row r="22839" spans="1:19" x14ac:dyDescent="0.3">
      <c r="A22839" t="str">
        <f t="shared" si="20"/>
        <v>MD Family ResourcesTST FFOct-24</v>
      </c>
      <c r="B22839" s="171" t="s">
        <v>45757</v>
      </c>
      <c r="C22839" s="171" t="s">
        <v>10537</v>
      </c>
      <c r="D22839" s="171" t="s">
        <v>80</v>
      </c>
      <c r="E22839" s="11">
        <v>45566</v>
      </c>
      <c r="F22839">
        <v>0</v>
      </c>
      <c r="G22839">
        <v>1</v>
      </c>
      <c r="I22839">
        <v>0</v>
      </c>
      <c r="J22839">
        <v>0</v>
      </c>
      <c r="L22839">
        <v>6</v>
      </c>
      <c r="N22839">
        <v>0</v>
      </c>
      <c r="P22839">
        <v>0</v>
      </c>
      <c r="Q22839">
        <v>0</v>
      </c>
      <c r="S22839">
        <v>0</v>
      </c>
    </row>
    <row r="22840" spans="1:19" x14ac:dyDescent="0.3">
      <c r="A22840" t="str">
        <f t="shared" si="20"/>
        <v>DBH Parent SupportABC CombinedOct-24</v>
      </c>
      <c r="B22840" s="171" t="s">
        <v>45758</v>
      </c>
      <c r="C22840" s="171" t="s">
        <v>34754</v>
      </c>
      <c r="D22840" s="171" t="s">
        <v>4</v>
      </c>
      <c r="E22840" s="11">
        <v>45566</v>
      </c>
      <c r="F22840">
        <v>0</v>
      </c>
      <c r="G22840">
        <v>0</v>
      </c>
      <c r="I22840">
        <v>0</v>
      </c>
      <c r="J22840">
        <v>0</v>
      </c>
      <c r="L22840">
        <v>0</v>
      </c>
      <c r="N22840">
        <v>0</v>
      </c>
      <c r="P22840">
        <v>0</v>
      </c>
      <c r="Q22840">
        <v>0</v>
      </c>
      <c r="S22840">
        <v>0</v>
      </c>
    </row>
    <row r="22841" spans="1:19" x14ac:dyDescent="0.3">
      <c r="A22841" t="str">
        <f t="shared" si="20"/>
        <v>Healthy FuturesABC CombinedOct-24</v>
      </c>
      <c r="B22841" s="171" t="s">
        <v>45759</v>
      </c>
      <c r="C22841" s="171" t="s">
        <v>34757</v>
      </c>
      <c r="D22841" s="171" t="s">
        <v>4</v>
      </c>
      <c r="E22841" s="11">
        <v>45566</v>
      </c>
      <c r="F22841">
        <v>0</v>
      </c>
      <c r="G22841">
        <v>0</v>
      </c>
      <c r="I22841">
        <v>0</v>
      </c>
      <c r="J22841">
        <v>0</v>
      </c>
      <c r="L22841">
        <v>0</v>
      </c>
      <c r="N22841">
        <v>0</v>
      </c>
      <c r="P22841">
        <v>0</v>
      </c>
      <c r="Q22841">
        <v>0</v>
      </c>
      <c r="S22841">
        <v>0</v>
      </c>
    </row>
    <row r="22842" spans="1:19" x14ac:dyDescent="0.3">
      <c r="A22842" t="str">
        <f t="shared" si="20"/>
        <v>Marys CenterABC CombinedOct-24</v>
      </c>
      <c r="B22842" s="171" t="s">
        <v>45760</v>
      </c>
      <c r="C22842" s="171" t="s">
        <v>34760</v>
      </c>
      <c r="D22842" s="171" t="s">
        <v>4</v>
      </c>
      <c r="E22842" s="11">
        <v>45566</v>
      </c>
      <c r="F22842">
        <v>0</v>
      </c>
      <c r="G22842">
        <v>0</v>
      </c>
      <c r="I22842">
        <v>0</v>
      </c>
      <c r="J22842">
        <v>0</v>
      </c>
      <c r="L22842">
        <v>0</v>
      </c>
      <c r="N22842">
        <v>0</v>
      </c>
      <c r="P22842">
        <v>0</v>
      </c>
      <c r="Q22842">
        <v>0</v>
      </c>
      <c r="S22842">
        <v>0</v>
      </c>
    </row>
    <row r="22843" spans="1:19" x14ac:dyDescent="0.3">
      <c r="A22843" t="str">
        <f t="shared" si="20"/>
        <v>Medstar GeorgetownABC CombinedOct-24</v>
      </c>
      <c r="B22843" s="171" t="s">
        <v>45761</v>
      </c>
      <c r="C22843" s="171" t="s">
        <v>34763</v>
      </c>
      <c r="D22843" s="171" t="s">
        <v>4</v>
      </c>
      <c r="E22843" s="11">
        <v>45566</v>
      </c>
      <c r="F22843">
        <v>0</v>
      </c>
      <c r="G22843">
        <v>0</v>
      </c>
      <c r="I22843">
        <v>0</v>
      </c>
      <c r="J22843">
        <v>0</v>
      </c>
      <c r="L22843">
        <v>0</v>
      </c>
      <c r="N22843">
        <v>0</v>
      </c>
      <c r="P22843">
        <v>0</v>
      </c>
      <c r="Q22843">
        <v>0</v>
      </c>
      <c r="S22843">
        <v>0</v>
      </c>
    </row>
    <row r="22844" spans="1:19" x14ac:dyDescent="0.3">
      <c r="A22844" t="str">
        <f t="shared" si="20"/>
        <v>PIECEABC CombinedOct-24</v>
      </c>
      <c r="B22844" s="171" t="s">
        <v>45762</v>
      </c>
      <c r="C22844" s="171" t="s">
        <v>34766</v>
      </c>
      <c r="D22844" s="171" t="s">
        <v>4</v>
      </c>
      <c r="E22844" s="11">
        <v>45566</v>
      </c>
      <c r="F22844">
        <v>0</v>
      </c>
      <c r="G22844">
        <v>0</v>
      </c>
      <c r="I22844">
        <v>0</v>
      </c>
      <c r="J22844">
        <v>0</v>
      </c>
      <c r="L22844">
        <v>0</v>
      </c>
      <c r="N22844">
        <v>0</v>
      </c>
      <c r="P22844">
        <v>0</v>
      </c>
      <c r="Q22844">
        <v>0</v>
      </c>
      <c r="S22844">
        <v>0</v>
      </c>
    </row>
    <row r="22845" spans="1:19" x14ac:dyDescent="0.3">
      <c r="A22845" t="str">
        <f t="shared" si="20"/>
        <v>Federal CityA-CRA CombinedOct-24</v>
      </c>
      <c r="B22845" s="171" t="s">
        <v>45763</v>
      </c>
      <c r="C22845" s="171" t="s">
        <v>119</v>
      </c>
      <c r="D22845" s="171" t="s">
        <v>4</v>
      </c>
      <c r="E22845" s="11">
        <v>45566</v>
      </c>
      <c r="F22845">
        <v>0</v>
      </c>
      <c r="G22845">
        <v>0</v>
      </c>
      <c r="I22845">
        <v>0</v>
      </c>
      <c r="J22845">
        <v>0</v>
      </c>
      <c r="L22845">
        <v>0</v>
      </c>
      <c r="N22845">
        <v>0</v>
      </c>
      <c r="P22845">
        <v>0</v>
      </c>
      <c r="Q22845">
        <v>0</v>
      </c>
      <c r="S22845">
        <v>0</v>
      </c>
    </row>
    <row r="22846" spans="1:19" x14ac:dyDescent="0.3">
      <c r="A22846" t="str">
        <f t="shared" si="20"/>
        <v>HillcrestA-CRA CombinedOct-24</v>
      </c>
      <c r="B22846" s="171" t="s">
        <v>45764</v>
      </c>
      <c r="C22846" s="171" t="s">
        <v>143</v>
      </c>
      <c r="D22846" s="171" t="s">
        <v>4</v>
      </c>
      <c r="E22846" s="11">
        <v>45566</v>
      </c>
      <c r="F22846">
        <v>0</v>
      </c>
      <c r="G22846">
        <v>0</v>
      </c>
      <c r="I22846">
        <v>0</v>
      </c>
      <c r="J22846">
        <v>0</v>
      </c>
      <c r="L22846">
        <v>0</v>
      </c>
      <c r="N22846">
        <v>0</v>
      </c>
      <c r="P22846">
        <v>0</v>
      </c>
      <c r="Q22846">
        <v>0</v>
      </c>
      <c r="S22846">
        <v>0</v>
      </c>
    </row>
    <row r="22847" spans="1:19" x14ac:dyDescent="0.3">
      <c r="A22847" t="str">
        <f t="shared" si="20"/>
        <v>LAYCA-CRA CombinedOct-24</v>
      </c>
      <c r="B22847" s="171" t="s">
        <v>45765</v>
      </c>
      <c r="C22847" s="171" t="s">
        <v>158</v>
      </c>
      <c r="D22847" s="171" t="s">
        <v>4</v>
      </c>
      <c r="E22847" s="11">
        <v>45566</v>
      </c>
      <c r="F22847">
        <v>0</v>
      </c>
      <c r="G22847">
        <v>0</v>
      </c>
      <c r="I22847">
        <v>0</v>
      </c>
      <c r="J22847">
        <v>0</v>
      </c>
      <c r="L22847">
        <v>0</v>
      </c>
      <c r="N22847">
        <v>0</v>
      </c>
      <c r="P22847">
        <v>0</v>
      </c>
      <c r="Q22847">
        <v>0</v>
      </c>
      <c r="S22847">
        <v>0</v>
      </c>
    </row>
    <row r="22848" spans="1:19" x14ac:dyDescent="0.3">
      <c r="A22848" t="str">
        <f t="shared" si="20"/>
        <v>RiversideA-CRA CombinedOct-24</v>
      </c>
      <c r="B22848" s="171" t="s">
        <v>45766</v>
      </c>
      <c r="C22848" s="171" t="s">
        <v>209</v>
      </c>
      <c r="D22848" s="171" t="s">
        <v>4</v>
      </c>
      <c r="E22848" s="11">
        <v>45566</v>
      </c>
      <c r="F22848">
        <v>0</v>
      </c>
      <c r="G22848">
        <v>0</v>
      </c>
      <c r="I22848">
        <v>0</v>
      </c>
      <c r="J22848">
        <v>0</v>
      </c>
      <c r="L22848">
        <v>0</v>
      </c>
      <c r="N22848">
        <v>0</v>
      </c>
      <c r="P22848">
        <v>0</v>
      </c>
      <c r="Q22848">
        <v>0</v>
      </c>
      <c r="S22848">
        <v>0</v>
      </c>
    </row>
    <row r="22849" spans="1:19" x14ac:dyDescent="0.3">
      <c r="A22849" t="str">
        <f t="shared" si="20"/>
        <v>Adoptions TogetherCPP-FV CombinedOct-24</v>
      </c>
      <c r="B22849" s="171" t="s">
        <v>45767</v>
      </c>
      <c r="C22849" s="171" t="s">
        <v>76</v>
      </c>
      <c r="D22849" s="171" t="s">
        <v>4</v>
      </c>
      <c r="E22849" s="11">
        <v>45566</v>
      </c>
      <c r="F22849">
        <v>0</v>
      </c>
      <c r="G22849">
        <v>0</v>
      </c>
      <c r="I22849">
        <v>0</v>
      </c>
      <c r="J22849">
        <v>0</v>
      </c>
      <c r="L22849">
        <v>0</v>
      </c>
      <c r="N22849">
        <v>0</v>
      </c>
      <c r="P22849">
        <v>0</v>
      </c>
      <c r="Q22849">
        <v>0</v>
      </c>
      <c r="S22849">
        <v>0</v>
      </c>
    </row>
    <row r="22850" spans="1:19" x14ac:dyDescent="0.3">
      <c r="A22850" t="str">
        <f t="shared" si="20"/>
        <v>Foundations for Home &amp; CommunityCPP-FV CombinedOct-24</v>
      </c>
      <c r="B22850" s="171" t="s">
        <v>45768</v>
      </c>
      <c r="C22850" s="171" t="s">
        <v>15344</v>
      </c>
      <c r="D22850" s="171" t="s">
        <v>4</v>
      </c>
      <c r="E22850" s="11">
        <v>45566</v>
      </c>
      <c r="F22850">
        <v>0</v>
      </c>
      <c r="G22850">
        <v>0</v>
      </c>
      <c r="I22850">
        <v>0</v>
      </c>
      <c r="J22850">
        <v>0</v>
      </c>
      <c r="L22850">
        <v>0</v>
      </c>
      <c r="N22850">
        <v>0</v>
      </c>
      <c r="P22850">
        <v>0</v>
      </c>
      <c r="Q22850">
        <v>0</v>
      </c>
      <c r="S22850">
        <v>0</v>
      </c>
    </row>
    <row r="22851" spans="1:19" x14ac:dyDescent="0.3">
      <c r="A22851" t="str">
        <f t="shared" si="20"/>
        <v>Medstar GeorgetownCPP-FV CombinedOct-24</v>
      </c>
      <c r="B22851" s="171" t="s">
        <v>45769</v>
      </c>
      <c r="C22851" s="171" t="s">
        <v>24281</v>
      </c>
      <c r="D22851" s="171" t="s">
        <v>4</v>
      </c>
      <c r="E22851" s="11">
        <v>45566</v>
      </c>
      <c r="F22851">
        <v>0</v>
      </c>
      <c r="G22851">
        <v>0</v>
      </c>
      <c r="I22851">
        <v>0</v>
      </c>
      <c r="J22851">
        <v>0</v>
      </c>
      <c r="L22851">
        <v>0</v>
      </c>
      <c r="N22851">
        <v>0</v>
      </c>
      <c r="P22851">
        <v>0</v>
      </c>
      <c r="Q22851">
        <v>0</v>
      </c>
      <c r="S22851">
        <v>0</v>
      </c>
    </row>
    <row r="22852" spans="1:19" x14ac:dyDescent="0.3">
      <c r="A22852" t="str">
        <f t="shared" si="20"/>
        <v>Better MorningsFFT CombinedOct-24</v>
      </c>
      <c r="B22852" s="171" t="s">
        <v>45770</v>
      </c>
      <c r="C22852" s="171" t="s">
        <v>24284</v>
      </c>
      <c r="D22852" s="171" t="s">
        <v>4</v>
      </c>
      <c r="E22852" s="11">
        <v>45566</v>
      </c>
      <c r="F22852">
        <v>3</v>
      </c>
      <c r="G22852">
        <v>3</v>
      </c>
      <c r="I22852">
        <v>8</v>
      </c>
      <c r="J22852">
        <v>17</v>
      </c>
      <c r="L22852">
        <v>17</v>
      </c>
      <c r="N22852">
        <v>4</v>
      </c>
      <c r="P22852">
        <v>0</v>
      </c>
      <c r="Q22852">
        <v>0</v>
      </c>
      <c r="S22852">
        <v>4</v>
      </c>
    </row>
    <row r="22853" spans="1:19" x14ac:dyDescent="0.3">
      <c r="A22853" t="str">
        <f t="shared" si="20"/>
        <v>CatholicFFT CombinedOct-24</v>
      </c>
      <c r="B22853" s="171" t="s">
        <v>45771</v>
      </c>
      <c r="C22853" s="171" t="s">
        <v>18126</v>
      </c>
      <c r="D22853" s="171" t="s">
        <v>4</v>
      </c>
      <c r="E22853" s="11">
        <v>45566</v>
      </c>
      <c r="F22853">
        <v>0</v>
      </c>
      <c r="G22853">
        <v>0</v>
      </c>
      <c r="I22853">
        <v>0</v>
      </c>
      <c r="J22853">
        <v>0</v>
      </c>
      <c r="L22853">
        <v>0</v>
      </c>
      <c r="N22853">
        <v>0</v>
      </c>
      <c r="P22853">
        <v>0</v>
      </c>
      <c r="Q22853">
        <v>0</v>
      </c>
      <c r="S22853">
        <v>0</v>
      </c>
    </row>
    <row r="22854" spans="1:19" x14ac:dyDescent="0.3">
      <c r="A22854" t="str">
        <f t="shared" si="20"/>
        <v>First Home CareFFT CombinedOct-24</v>
      </c>
      <c r="B22854" s="171" t="s">
        <v>45772</v>
      </c>
      <c r="C22854" s="171" t="s">
        <v>128</v>
      </c>
      <c r="D22854" s="171" t="s">
        <v>4</v>
      </c>
      <c r="E22854" s="11">
        <v>45566</v>
      </c>
      <c r="F22854">
        <v>0</v>
      </c>
      <c r="G22854">
        <v>0</v>
      </c>
      <c r="I22854">
        <v>0</v>
      </c>
      <c r="J22854">
        <v>0</v>
      </c>
      <c r="L22854">
        <v>0</v>
      </c>
      <c r="N22854">
        <v>0</v>
      </c>
      <c r="P22854">
        <v>0</v>
      </c>
      <c r="Q22854">
        <v>0</v>
      </c>
      <c r="S22854">
        <v>0</v>
      </c>
    </row>
    <row r="22855" spans="1:19" x14ac:dyDescent="0.3">
      <c r="A22855" t="str">
        <f t="shared" si="20"/>
        <v>Foundations for Home &amp; CommunityFFT CombinedOct-24</v>
      </c>
      <c r="B22855" s="171" t="s">
        <v>45773</v>
      </c>
      <c r="C22855" s="171" t="s">
        <v>14824</v>
      </c>
      <c r="D22855" s="171" t="s">
        <v>4</v>
      </c>
      <c r="E22855" s="11">
        <v>45566</v>
      </c>
      <c r="F22855">
        <v>0</v>
      </c>
      <c r="G22855">
        <v>0</v>
      </c>
      <c r="I22855">
        <v>0</v>
      </c>
      <c r="J22855">
        <v>0</v>
      </c>
      <c r="L22855">
        <v>0</v>
      </c>
      <c r="N22855">
        <v>0</v>
      </c>
      <c r="P22855">
        <v>0</v>
      </c>
      <c r="Q22855">
        <v>0</v>
      </c>
      <c r="S22855">
        <v>0</v>
      </c>
    </row>
    <row r="22856" spans="1:19" x14ac:dyDescent="0.3">
      <c r="A22856" t="str">
        <f t="shared" si="20"/>
        <v>HillcrestFFT CombinedOct-24</v>
      </c>
      <c r="B22856" s="171" t="s">
        <v>45774</v>
      </c>
      <c r="C22856" s="171" t="s">
        <v>152</v>
      </c>
      <c r="D22856" s="171" t="s">
        <v>4</v>
      </c>
      <c r="E22856" s="11">
        <v>45566</v>
      </c>
      <c r="F22856">
        <v>0</v>
      </c>
      <c r="G22856">
        <v>0</v>
      </c>
      <c r="I22856">
        <v>0</v>
      </c>
      <c r="J22856">
        <v>0</v>
      </c>
      <c r="L22856">
        <v>0</v>
      </c>
      <c r="N22856">
        <v>0</v>
      </c>
      <c r="P22856">
        <v>0</v>
      </c>
      <c r="Q22856">
        <v>0</v>
      </c>
      <c r="S22856">
        <v>0</v>
      </c>
    </row>
    <row r="22857" spans="1:19" x14ac:dyDescent="0.3">
      <c r="A22857" t="str">
        <f t="shared" si="20"/>
        <v>PASSFFT CombinedOct-24</v>
      </c>
      <c r="B22857" s="171" t="s">
        <v>45775</v>
      </c>
      <c r="C22857" s="171" t="s">
        <v>194</v>
      </c>
      <c r="D22857" s="171" t="s">
        <v>4</v>
      </c>
      <c r="E22857" s="11">
        <v>45566</v>
      </c>
      <c r="F22857">
        <v>2</v>
      </c>
      <c r="G22857">
        <v>5</v>
      </c>
      <c r="I22857">
        <v>12</v>
      </c>
      <c r="J22857">
        <v>12</v>
      </c>
      <c r="L22857">
        <v>27</v>
      </c>
      <c r="N22857">
        <v>9</v>
      </c>
      <c r="P22857">
        <v>0</v>
      </c>
      <c r="Q22857">
        <v>0</v>
      </c>
      <c r="S22857">
        <v>3</v>
      </c>
    </row>
    <row r="22858" spans="1:19" x14ac:dyDescent="0.3">
      <c r="A22858" t="str">
        <f t="shared" si="20"/>
        <v>Better MorningsIHCBS CombinedOct-24</v>
      </c>
      <c r="B22858" s="171" t="s">
        <v>45776</v>
      </c>
      <c r="C22858" s="171" t="s">
        <v>39930</v>
      </c>
      <c r="D22858" s="171" t="s">
        <v>4</v>
      </c>
      <c r="E22858" s="11">
        <v>45566</v>
      </c>
      <c r="F22858">
        <v>4</v>
      </c>
      <c r="G22858">
        <v>4</v>
      </c>
      <c r="I22858">
        <v>13</v>
      </c>
      <c r="J22858">
        <v>16</v>
      </c>
      <c r="L22858">
        <v>16</v>
      </c>
      <c r="N22858">
        <v>8</v>
      </c>
      <c r="P22858">
        <v>5</v>
      </c>
      <c r="Q22858">
        <v>5</v>
      </c>
      <c r="S22858">
        <v>5</v>
      </c>
    </row>
    <row r="22859" spans="1:19" x14ac:dyDescent="0.3">
      <c r="A22859" t="str">
        <f t="shared" si="20"/>
        <v>HillcrestIHCBS CombinedOct-24</v>
      </c>
      <c r="B22859" s="171" t="s">
        <v>45777</v>
      </c>
      <c r="C22859" s="171" t="s">
        <v>39933</v>
      </c>
      <c r="D22859" s="171" t="s">
        <v>4</v>
      </c>
      <c r="E22859" s="11">
        <v>45566</v>
      </c>
      <c r="F22859">
        <v>3</v>
      </c>
      <c r="G22859">
        <v>4</v>
      </c>
      <c r="I22859">
        <v>16</v>
      </c>
      <c r="J22859">
        <v>12</v>
      </c>
      <c r="L22859">
        <v>16</v>
      </c>
      <c r="N22859">
        <v>13</v>
      </c>
      <c r="P22859">
        <v>1</v>
      </c>
      <c r="Q22859">
        <v>3</v>
      </c>
      <c r="S22859">
        <v>3</v>
      </c>
    </row>
    <row r="22860" spans="1:19" x14ac:dyDescent="0.3">
      <c r="A22860" t="str">
        <f t="shared" si="20"/>
        <v>LESIHCBS CombinedOct-24</v>
      </c>
      <c r="B22860" s="171" t="s">
        <v>45778</v>
      </c>
      <c r="C22860" s="171" t="s">
        <v>39936</v>
      </c>
      <c r="D22860" s="171" t="s">
        <v>4</v>
      </c>
      <c r="E22860" s="11">
        <v>45566</v>
      </c>
      <c r="F22860">
        <v>0</v>
      </c>
      <c r="G22860">
        <v>0</v>
      </c>
      <c r="I22860">
        <v>0</v>
      </c>
      <c r="J22860">
        <v>0</v>
      </c>
      <c r="L22860">
        <v>0</v>
      </c>
      <c r="N22860">
        <v>0</v>
      </c>
      <c r="P22860">
        <v>0</v>
      </c>
      <c r="Q22860">
        <v>0</v>
      </c>
      <c r="S22860">
        <v>0</v>
      </c>
    </row>
    <row r="22861" spans="1:19" x14ac:dyDescent="0.3">
      <c r="A22861" t="str">
        <f t="shared" si="20"/>
        <v>MBI HSIHCBS CombinedOct-24</v>
      </c>
      <c r="B22861" s="171" t="s">
        <v>45779</v>
      </c>
      <c r="C22861" s="171" t="s">
        <v>39939</v>
      </c>
      <c r="D22861" s="171" t="s">
        <v>4</v>
      </c>
      <c r="E22861" s="11">
        <v>45566</v>
      </c>
      <c r="F22861">
        <v>2</v>
      </c>
      <c r="G22861">
        <v>2</v>
      </c>
      <c r="I22861">
        <v>6</v>
      </c>
      <c r="J22861">
        <v>8</v>
      </c>
      <c r="L22861">
        <v>8</v>
      </c>
      <c r="N22861">
        <v>4</v>
      </c>
      <c r="P22861">
        <v>1</v>
      </c>
      <c r="Q22861">
        <v>2</v>
      </c>
      <c r="S22861">
        <v>2</v>
      </c>
    </row>
    <row r="22862" spans="1:19" x14ac:dyDescent="0.3">
      <c r="A22862" t="str">
        <f t="shared" si="20"/>
        <v>MD Family ResourcesIHCBS CombinedOct-24</v>
      </c>
      <c r="B22862" s="171" t="s">
        <v>45780</v>
      </c>
      <c r="C22862" s="171" t="s">
        <v>39942</v>
      </c>
      <c r="D22862" s="171" t="s">
        <v>4</v>
      </c>
      <c r="E22862" s="11">
        <v>45566</v>
      </c>
      <c r="F22862">
        <v>0</v>
      </c>
      <c r="G22862">
        <v>4</v>
      </c>
      <c r="I22862">
        <v>0</v>
      </c>
      <c r="J22862">
        <v>0</v>
      </c>
      <c r="L22862">
        <v>16</v>
      </c>
      <c r="N22862">
        <v>0</v>
      </c>
      <c r="P22862">
        <v>0</v>
      </c>
      <c r="Q22862">
        <v>0</v>
      </c>
      <c r="S22862">
        <v>0</v>
      </c>
    </row>
    <row r="22863" spans="1:19" x14ac:dyDescent="0.3">
      <c r="A22863" t="str">
        <f t="shared" si="20"/>
        <v>LCSMST CombinedOct-24</v>
      </c>
      <c r="B22863" s="171" t="s">
        <v>45781</v>
      </c>
      <c r="C22863" s="171" t="s">
        <v>18137</v>
      </c>
      <c r="D22863" s="171" t="s">
        <v>4</v>
      </c>
      <c r="E22863" s="11">
        <v>45566</v>
      </c>
      <c r="F22863">
        <v>0</v>
      </c>
      <c r="G22863">
        <v>0</v>
      </c>
      <c r="I22863">
        <v>0</v>
      </c>
      <c r="J22863">
        <v>0</v>
      </c>
      <c r="L22863">
        <v>0</v>
      </c>
      <c r="N22863">
        <v>0</v>
      </c>
      <c r="P22863">
        <v>0</v>
      </c>
      <c r="Q22863">
        <v>0</v>
      </c>
      <c r="S22863">
        <v>0</v>
      </c>
    </row>
    <row r="22864" spans="1:19" x14ac:dyDescent="0.3">
      <c r="A22864" t="str">
        <f t="shared" si="20"/>
        <v>MBI HSMST CombinedOct-24</v>
      </c>
      <c r="B22864" s="171" t="s">
        <v>45782</v>
      </c>
      <c r="C22864" s="171" t="s">
        <v>18140</v>
      </c>
      <c r="D22864" s="171" t="s">
        <v>4</v>
      </c>
      <c r="E22864" s="11">
        <v>45566</v>
      </c>
      <c r="F22864">
        <v>2</v>
      </c>
      <c r="G22864">
        <v>4</v>
      </c>
      <c r="I22864">
        <v>10</v>
      </c>
      <c r="J22864">
        <v>10</v>
      </c>
      <c r="L22864">
        <v>20</v>
      </c>
      <c r="N22864">
        <v>9</v>
      </c>
      <c r="P22864">
        <v>1</v>
      </c>
      <c r="Q22864">
        <v>1</v>
      </c>
      <c r="S22864">
        <v>1</v>
      </c>
    </row>
    <row r="22865" spans="1:19" x14ac:dyDescent="0.3">
      <c r="A22865" t="str">
        <f t="shared" si="20"/>
        <v>Youth VillagesMST CombinedOct-24</v>
      </c>
      <c r="B22865" s="171" t="s">
        <v>45783</v>
      </c>
      <c r="C22865" s="171" t="s">
        <v>236</v>
      </c>
      <c r="D22865" s="171" t="s">
        <v>4</v>
      </c>
      <c r="E22865" s="11">
        <v>45566</v>
      </c>
      <c r="F22865">
        <v>0</v>
      </c>
      <c r="G22865">
        <v>0</v>
      </c>
      <c r="I22865">
        <v>0</v>
      </c>
      <c r="J22865">
        <v>0</v>
      </c>
      <c r="L22865">
        <v>0</v>
      </c>
      <c r="N22865">
        <v>0</v>
      </c>
      <c r="P22865">
        <v>0</v>
      </c>
      <c r="Q22865">
        <v>0</v>
      </c>
      <c r="S22865">
        <v>0</v>
      </c>
    </row>
    <row r="22866" spans="1:19" x14ac:dyDescent="0.3">
      <c r="A22866" t="str">
        <f t="shared" si="20"/>
        <v>Youth VillagesMST-PSB CombinedOct-24</v>
      </c>
      <c r="B22866" s="171" t="s">
        <v>45784</v>
      </c>
      <c r="C22866" s="171" t="s">
        <v>239</v>
      </c>
      <c r="D22866" s="171" t="s">
        <v>4</v>
      </c>
      <c r="E22866" s="11">
        <v>45566</v>
      </c>
      <c r="F22866">
        <v>0</v>
      </c>
      <c r="G22866">
        <v>0</v>
      </c>
      <c r="I22866">
        <v>0</v>
      </c>
      <c r="J22866">
        <v>0</v>
      </c>
      <c r="L22866">
        <v>0</v>
      </c>
      <c r="N22866">
        <v>0</v>
      </c>
      <c r="P22866">
        <v>0</v>
      </c>
      <c r="Q22866">
        <v>0</v>
      </c>
      <c r="S22866">
        <v>0</v>
      </c>
    </row>
    <row r="22867" spans="1:19" x14ac:dyDescent="0.3">
      <c r="A22867" t="str">
        <f t="shared" si="20"/>
        <v>Medstar GeorgetownPCIT CombinedOct-24</v>
      </c>
      <c r="B22867" s="171" t="s">
        <v>45785</v>
      </c>
      <c r="C22867" s="171" t="s">
        <v>24315</v>
      </c>
      <c r="D22867" s="171" t="s">
        <v>4</v>
      </c>
      <c r="E22867" s="11">
        <v>45566</v>
      </c>
      <c r="F22867">
        <v>0</v>
      </c>
      <c r="G22867">
        <v>0</v>
      </c>
      <c r="I22867">
        <v>0</v>
      </c>
      <c r="J22867">
        <v>0</v>
      </c>
      <c r="L22867">
        <v>0</v>
      </c>
      <c r="N22867">
        <v>0</v>
      </c>
      <c r="P22867">
        <v>0</v>
      </c>
      <c r="Q22867">
        <v>0</v>
      </c>
      <c r="S22867">
        <v>0</v>
      </c>
    </row>
    <row r="22868" spans="1:19" x14ac:dyDescent="0.3">
      <c r="A22868" t="str">
        <f t="shared" si="20"/>
        <v>Marys CenterPCIT-T CombinedOct-24</v>
      </c>
      <c r="B22868" s="171" t="s">
        <v>45786</v>
      </c>
      <c r="C22868" s="171" t="s">
        <v>34833</v>
      </c>
      <c r="D22868" s="171" t="s">
        <v>4</v>
      </c>
      <c r="E22868" s="11">
        <v>45566</v>
      </c>
      <c r="F22868">
        <v>1.5</v>
      </c>
      <c r="G22868">
        <v>2</v>
      </c>
      <c r="I22868">
        <v>1</v>
      </c>
      <c r="J22868">
        <v>9</v>
      </c>
      <c r="L22868">
        <v>11</v>
      </c>
      <c r="N22868">
        <v>1</v>
      </c>
      <c r="P22868">
        <v>0</v>
      </c>
      <c r="Q22868">
        <v>0</v>
      </c>
      <c r="S22868">
        <v>0</v>
      </c>
    </row>
    <row r="22869" spans="1:19" x14ac:dyDescent="0.3">
      <c r="A22869" t="str">
        <f t="shared" si="20"/>
        <v>PIECEPCIT-T CombinedOct-24</v>
      </c>
      <c r="B22869" s="171" t="s">
        <v>45787</v>
      </c>
      <c r="C22869" s="171" t="s">
        <v>34836</v>
      </c>
      <c r="D22869" s="171" t="s">
        <v>4</v>
      </c>
      <c r="E22869" s="11">
        <v>45566</v>
      </c>
      <c r="F22869">
        <v>1.5</v>
      </c>
      <c r="G22869">
        <v>1.5</v>
      </c>
      <c r="I22869">
        <v>2</v>
      </c>
      <c r="J22869">
        <v>7</v>
      </c>
      <c r="L22869">
        <v>7</v>
      </c>
      <c r="N22869">
        <v>2</v>
      </c>
      <c r="P22869">
        <v>0</v>
      </c>
      <c r="Q22869">
        <v>0</v>
      </c>
      <c r="S22869">
        <v>0</v>
      </c>
    </row>
    <row r="22870" spans="1:19" x14ac:dyDescent="0.3">
      <c r="A22870" t="str">
        <f t="shared" si="20"/>
        <v>Community ConnectionsTF-CBT CombinedOct-24</v>
      </c>
      <c r="B22870" s="171" t="s">
        <v>45788</v>
      </c>
      <c r="C22870" s="171" t="s">
        <v>113</v>
      </c>
      <c r="D22870" s="171" t="s">
        <v>4</v>
      </c>
      <c r="E22870" s="11">
        <v>45566</v>
      </c>
      <c r="F22870">
        <v>0</v>
      </c>
      <c r="G22870">
        <v>0</v>
      </c>
      <c r="I22870">
        <v>0</v>
      </c>
      <c r="J22870">
        <v>0</v>
      </c>
      <c r="L22870">
        <v>0</v>
      </c>
      <c r="N22870">
        <v>0</v>
      </c>
      <c r="P22870">
        <v>0</v>
      </c>
      <c r="Q22870">
        <v>0</v>
      </c>
      <c r="S22870">
        <v>0</v>
      </c>
    </row>
    <row r="22871" spans="1:19" x14ac:dyDescent="0.3">
      <c r="A22871" t="str">
        <f t="shared" si="20"/>
        <v>First Home CareTF-CBT CombinedOct-24</v>
      </c>
      <c r="B22871" s="171" t="s">
        <v>45789</v>
      </c>
      <c r="C22871" s="171" t="s">
        <v>131</v>
      </c>
      <c r="D22871" s="171" t="s">
        <v>4</v>
      </c>
      <c r="E22871" s="11">
        <v>45566</v>
      </c>
      <c r="F22871">
        <v>0</v>
      </c>
      <c r="G22871">
        <v>0</v>
      </c>
      <c r="I22871">
        <v>0</v>
      </c>
      <c r="J22871">
        <v>0</v>
      </c>
      <c r="L22871">
        <v>0</v>
      </c>
      <c r="N22871">
        <v>0</v>
      </c>
      <c r="P22871">
        <v>0</v>
      </c>
      <c r="Q22871">
        <v>0</v>
      </c>
      <c r="S22871">
        <v>0</v>
      </c>
    </row>
    <row r="22872" spans="1:19" x14ac:dyDescent="0.3">
      <c r="A22872" t="str">
        <f t="shared" si="20"/>
        <v>Foundations for Home &amp; CommunityTF-CBT CombinedOct-24</v>
      </c>
      <c r="B22872" s="171" t="s">
        <v>45790</v>
      </c>
      <c r="C22872" s="171" t="s">
        <v>14843</v>
      </c>
      <c r="D22872" s="171" t="s">
        <v>4</v>
      </c>
      <c r="E22872" s="11">
        <v>45566</v>
      </c>
      <c r="F22872">
        <v>0</v>
      </c>
      <c r="G22872">
        <v>0</v>
      </c>
      <c r="I22872">
        <v>0</v>
      </c>
      <c r="J22872">
        <v>0</v>
      </c>
      <c r="L22872">
        <v>0</v>
      </c>
      <c r="N22872">
        <v>0</v>
      </c>
      <c r="P22872">
        <v>0</v>
      </c>
      <c r="Q22872">
        <v>0</v>
      </c>
      <c r="S22872">
        <v>0</v>
      </c>
    </row>
    <row r="22873" spans="1:19" x14ac:dyDescent="0.3">
      <c r="A22873" t="str">
        <f t="shared" si="20"/>
        <v>HillcrestTF-CBT CombinedOct-24</v>
      </c>
      <c r="B22873" s="171" t="s">
        <v>45791</v>
      </c>
      <c r="C22873" s="171" t="s">
        <v>155</v>
      </c>
      <c r="D22873" s="171" t="s">
        <v>4</v>
      </c>
      <c r="E22873" s="11">
        <v>45566</v>
      </c>
      <c r="F22873">
        <v>3.5</v>
      </c>
      <c r="G22873">
        <v>6</v>
      </c>
      <c r="I22873">
        <v>6</v>
      </c>
      <c r="J22873">
        <v>20</v>
      </c>
      <c r="L22873">
        <v>31</v>
      </c>
      <c r="N22873">
        <v>4</v>
      </c>
      <c r="P22873">
        <v>1</v>
      </c>
      <c r="Q22873">
        <v>1</v>
      </c>
      <c r="S22873">
        <v>2</v>
      </c>
    </row>
    <row r="22874" spans="1:19" x14ac:dyDescent="0.3">
      <c r="A22874" t="str">
        <f t="shared" si="20"/>
        <v>LAYCTF-CBT CombinedOct-24</v>
      </c>
      <c r="B22874" s="171" t="s">
        <v>45792</v>
      </c>
      <c r="C22874" s="171" t="s">
        <v>16232</v>
      </c>
      <c r="D22874" s="171" t="s">
        <v>4</v>
      </c>
      <c r="E22874" s="11">
        <v>45566</v>
      </c>
      <c r="F22874">
        <v>2</v>
      </c>
      <c r="G22874">
        <v>3.5</v>
      </c>
      <c r="I22874">
        <v>6</v>
      </c>
      <c r="J22874">
        <v>12</v>
      </c>
      <c r="L22874">
        <v>21</v>
      </c>
      <c r="N22874">
        <v>3</v>
      </c>
      <c r="P22874">
        <v>0</v>
      </c>
      <c r="Q22874">
        <v>0</v>
      </c>
      <c r="S22874">
        <v>3</v>
      </c>
    </row>
    <row r="22875" spans="1:19" x14ac:dyDescent="0.3">
      <c r="A22875" t="str">
        <f t="shared" si="20"/>
        <v>LESTF-CBT CombinedOct-24</v>
      </c>
      <c r="B22875" s="171" t="s">
        <v>45793</v>
      </c>
      <c r="C22875" s="171" t="s">
        <v>16557</v>
      </c>
      <c r="D22875" s="171" t="s">
        <v>4</v>
      </c>
      <c r="E22875" s="11">
        <v>45566</v>
      </c>
      <c r="F22875">
        <v>0</v>
      </c>
      <c r="G22875">
        <v>0</v>
      </c>
      <c r="I22875">
        <v>0</v>
      </c>
      <c r="J22875">
        <v>0</v>
      </c>
      <c r="L22875">
        <v>0</v>
      </c>
      <c r="N22875">
        <v>0</v>
      </c>
      <c r="P22875">
        <v>0</v>
      </c>
      <c r="Q22875">
        <v>0</v>
      </c>
      <c r="S22875">
        <v>0</v>
      </c>
    </row>
    <row r="22876" spans="1:19" x14ac:dyDescent="0.3">
      <c r="A22876" t="str">
        <f t="shared" si="20"/>
        <v>MD Family ResourcesTF-CBT CombinedOct-24</v>
      </c>
      <c r="B22876" s="171" t="s">
        <v>45794</v>
      </c>
      <c r="C22876" s="171" t="s">
        <v>188</v>
      </c>
      <c r="D22876" s="171" t="s">
        <v>4</v>
      </c>
      <c r="E22876" s="11">
        <v>45566</v>
      </c>
      <c r="F22876">
        <v>1.5</v>
      </c>
      <c r="G22876">
        <v>3.5</v>
      </c>
      <c r="I22876">
        <v>3</v>
      </c>
      <c r="J22876">
        <v>8</v>
      </c>
      <c r="L22876">
        <v>20</v>
      </c>
      <c r="N22876">
        <v>3</v>
      </c>
      <c r="P22876">
        <v>1</v>
      </c>
      <c r="Q22876">
        <v>1</v>
      </c>
      <c r="S22876">
        <v>0</v>
      </c>
    </row>
    <row r="22877" spans="1:19" x14ac:dyDescent="0.3">
      <c r="A22877" t="str">
        <f t="shared" si="20"/>
        <v>UniversalTF-CBT CombinedOct-24</v>
      </c>
      <c r="B22877" s="171" t="s">
        <v>45795</v>
      </c>
      <c r="C22877" s="171" t="s">
        <v>227</v>
      </c>
      <c r="D22877" s="171" t="s">
        <v>4</v>
      </c>
      <c r="E22877" s="11">
        <v>45566</v>
      </c>
      <c r="F22877">
        <v>0</v>
      </c>
      <c r="G22877">
        <v>0</v>
      </c>
      <c r="I22877">
        <v>0</v>
      </c>
      <c r="J22877">
        <v>0</v>
      </c>
      <c r="L22877">
        <v>0</v>
      </c>
      <c r="N22877">
        <v>0</v>
      </c>
      <c r="P22877">
        <v>0</v>
      </c>
      <c r="Q22877">
        <v>0</v>
      </c>
      <c r="S22877">
        <v>0</v>
      </c>
    </row>
    <row r="22878" spans="1:19" x14ac:dyDescent="0.3">
      <c r="A22878" t="str">
        <f t="shared" si="20"/>
        <v>Community ConnectionsTIP CombinedOct-24</v>
      </c>
      <c r="B22878" s="171" t="s">
        <v>45796</v>
      </c>
      <c r="C22878" s="171" t="s">
        <v>116</v>
      </c>
      <c r="D22878" s="171" t="s">
        <v>4</v>
      </c>
      <c r="E22878" s="11">
        <v>45566</v>
      </c>
      <c r="F22878">
        <v>0</v>
      </c>
      <c r="G22878">
        <v>0</v>
      </c>
      <c r="I22878">
        <v>0</v>
      </c>
      <c r="J22878">
        <v>0</v>
      </c>
      <c r="L22878">
        <v>0</v>
      </c>
      <c r="N22878">
        <v>0</v>
      </c>
      <c r="P22878">
        <v>0</v>
      </c>
      <c r="Q22878">
        <v>0</v>
      </c>
      <c r="S22878">
        <v>0</v>
      </c>
    </row>
    <row r="22879" spans="1:19" x14ac:dyDescent="0.3">
      <c r="A22879" t="str">
        <f t="shared" si="20"/>
        <v>ContemporaryTIP CombinedOct-24</v>
      </c>
      <c r="B22879" s="171" t="s">
        <v>45797</v>
      </c>
      <c r="C22879" s="171" t="s">
        <v>9862</v>
      </c>
      <c r="D22879" s="171" t="s">
        <v>4</v>
      </c>
      <c r="E22879" s="11">
        <v>45566</v>
      </c>
      <c r="F22879">
        <v>0</v>
      </c>
      <c r="G22879">
        <v>0</v>
      </c>
      <c r="I22879">
        <v>0</v>
      </c>
      <c r="J22879">
        <v>0</v>
      </c>
      <c r="L22879">
        <v>0</v>
      </c>
      <c r="N22879">
        <v>0</v>
      </c>
      <c r="P22879">
        <v>0</v>
      </c>
      <c r="Q22879">
        <v>0</v>
      </c>
      <c r="S22879">
        <v>0</v>
      </c>
    </row>
    <row r="22880" spans="1:19" x14ac:dyDescent="0.3">
      <c r="A22880" t="str">
        <f t="shared" si="20"/>
        <v>FPSTIP CombinedOct-24</v>
      </c>
      <c r="B22880" s="171" t="s">
        <v>45798</v>
      </c>
      <c r="C22880" s="171" t="s">
        <v>140</v>
      </c>
      <c r="D22880" s="171" t="s">
        <v>4</v>
      </c>
      <c r="E22880" s="11">
        <v>45566</v>
      </c>
      <c r="F22880">
        <v>0</v>
      </c>
      <c r="G22880">
        <v>0</v>
      </c>
      <c r="I22880">
        <v>0</v>
      </c>
      <c r="J22880">
        <v>0</v>
      </c>
      <c r="L22880">
        <v>0</v>
      </c>
      <c r="N22880">
        <v>0</v>
      </c>
      <c r="P22880">
        <v>0</v>
      </c>
      <c r="Q22880">
        <v>0</v>
      </c>
      <c r="S22880">
        <v>0</v>
      </c>
    </row>
    <row r="22881" spans="1:19" x14ac:dyDescent="0.3">
      <c r="A22881" t="str">
        <f t="shared" si="20"/>
        <v>Green DoorTIP CombinedOct-24</v>
      </c>
      <c r="B22881" s="171" t="s">
        <v>45799</v>
      </c>
      <c r="C22881" s="171" t="s">
        <v>8590</v>
      </c>
      <c r="D22881" s="171" t="s">
        <v>4</v>
      </c>
      <c r="E22881" s="11">
        <v>45566</v>
      </c>
      <c r="F22881">
        <v>0</v>
      </c>
      <c r="G22881">
        <v>0</v>
      </c>
      <c r="I22881">
        <v>0</v>
      </c>
      <c r="J22881">
        <v>0</v>
      </c>
      <c r="L22881">
        <v>0</v>
      </c>
      <c r="N22881">
        <v>0</v>
      </c>
      <c r="P22881">
        <v>0</v>
      </c>
      <c r="Q22881">
        <v>0</v>
      </c>
      <c r="S22881">
        <v>0</v>
      </c>
    </row>
    <row r="22882" spans="1:19" x14ac:dyDescent="0.3">
      <c r="A22882" t="str">
        <f t="shared" si="20"/>
        <v>LESTIP CombinedOct-24</v>
      </c>
      <c r="B22882" s="171" t="s">
        <v>45800</v>
      </c>
      <c r="C22882" s="171" t="s">
        <v>170</v>
      </c>
      <c r="D22882" s="171" t="s">
        <v>4</v>
      </c>
      <c r="E22882" s="11">
        <v>45566</v>
      </c>
      <c r="F22882">
        <v>2.5</v>
      </c>
      <c r="G22882">
        <v>2.5</v>
      </c>
      <c r="I22882">
        <v>12</v>
      </c>
      <c r="J22882">
        <v>35</v>
      </c>
      <c r="L22882">
        <v>35</v>
      </c>
      <c r="N22882">
        <v>12</v>
      </c>
      <c r="P22882">
        <v>0</v>
      </c>
      <c r="Q22882">
        <v>0</v>
      </c>
      <c r="S22882">
        <v>0</v>
      </c>
    </row>
    <row r="22883" spans="1:19" x14ac:dyDescent="0.3">
      <c r="A22883" t="str">
        <f t="shared" si="20"/>
        <v>MBI HSTIP CombinedOct-24</v>
      </c>
      <c r="B22883" s="171" t="s">
        <v>45801</v>
      </c>
      <c r="C22883" s="171" t="s">
        <v>182</v>
      </c>
      <c r="D22883" s="171" t="s">
        <v>4</v>
      </c>
      <c r="E22883" s="11">
        <v>45566</v>
      </c>
      <c r="F22883">
        <v>7</v>
      </c>
      <c r="G22883">
        <v>9</v>
      </c>
      <c r="I22883">
        <v>43</v>
      </c>
      <c r="J22883">
        <v>80</v>
      </c>
      <c r="L22883">
        <v>102</v>
      </c>
      <c r="N22883">
        <v>35</v>
      </c>
      <c r="P22883">
        <v>2</v>
      </c>
      <c r="Q22883">
        <v>2</v>
      </c>
      <c r="S22883">
        <v>8</v>
      </c>
    </row>
    <row r="22884" spans="1:19" x14ac:dyDescent="0.3">
      <c r="A22884" t="str">
        <f t="shared" si="20"/>
        <v>PASSTIP CombinedOct-24</v>
      </c>
      <c r="B22884" s="171" t="s">
        <v>45802</v>
      </c>
      <c r="C22884" s="171" t="s">
        <v>197</v>
      </c>
      <c r="D22884" s="171" t="s">
        <v>4</v>
      </c>
      <c r="E22884" s="11">
        <v>45566</v>
      </c>
      <c r="F22884">
        <v>8</v>
      </c>
      <c r="G22884">
        <v>8</v>
      </c>
      <c r="I22884">
        <v>64</v>
      </c>
      <c r="J22884">
        <v>80</v>
      </c>
      <c r="L22884">
        <v>80</v>
      </c>
      <c r="N22884">
        <v>58</v>
      </c>
      <c r="P22884">
        <v>9</v>
      </c>
      <c r="Q22884">
        <v>12</v>
      </c>
      <c r="S22884">
        <v>6</v>
      </c>
    </row>
    <row r="22885" spans="1:19" x14ac:dyDescent="0.3">
      <c r="A22885" t="str">
        <f t="shared" si="20"/>
        <v>TFCCTIP CombinedOct-24</v>
      </c>
      <c r="B22885" s="171" t="s">
        <v>45803</v>
      </c>
      <c r="C22885" s="171" t="s">
        <v>218</v>
      </c>
      <c r="D22885" s="171" t="s">
        <v>4</v>
      </c>
      <c r="E22885" s="11">
        <v>45566</v>
      </c>
      <c r="F22885">
        <v>0</v>
      </c>
      <c r="G22885">
        <v>0</v>
      </c>
      <c r="I22885">
        <v>0</v>
      </c>
      <c r="J22885">
        <v>0</v>
      </c>
      <c r="L22885">
        <v>0</v>
      </c>
      <c r="N22885">
        <v>0</v>
      </c>
      <c r="P22885">
        <v>0</v>
      </c>
      <c r="Q22885">
        <v>0</v>
      </c>
      <c r="S22885">
        <v>0</v>
      </c>
    </row>
    <row r="22886" spans="1:19" x14ac:dyDescent="0.3">
      <c r="A22886" t="str">
        <f t="shared" si="20"/>
        <v>UmbrellaTIP CombinedOct-24</v>
      </c>
      <c r="B22886" s="171" t="s">
        <v>45804</v>
      </c>
      <c r="C22886" s="171" t="s">
        <v>34871</v>
      </c>
      <c r="D22886" s="171" t="s">
        <v>4</v>
      </c>
      <c r="E22886" s="11">
        <v>45566</v>
      </c>
      <c r="F22886">
        <v>6</v>
      </c>
      <c r="G22886">
        <v>6</v>
      </c>
      <c r="I22886">
        <v>33</v>
      </c>
      <c r="J22886">
        <v>66</v>
      </c>
      <c r="L22886">
        <v>66</v>
      </c>
      <c r="N22886">
        <v>33</v>
      </c>
      <c r="P22886">
        <v>0</v>
      </c>
      <c r="Q22886">
        <v>0</v>
      </c>
      <c r="S22886">
        <v>0</v>
      </c>
    </row>
    <row r="22887" spans="1:19" x14ac:dyDescent="0.3">
      <c r="A22887" t="str">
        <f t="shared" si="20"/>
        <v>UniversalTIP CombinedOct-24</v>
      </c>
      <c r="B22887" s="171" t="s">
        <v>45805</v>
      </c>
      <c r="C22887" s="171" t="s">
        <v>230</v>
      </c>
      <c r="D22887" s="171" t="s">
        <v>4</v>
      </c>
      <c r="E22887" s="11">
        <v>45566</v>
      </c>
      <c r="F22887">
        <v>0</v>
      </c>
      <c r="G22887">
        <v>0</v>
      </c>
      <c r="I22887">
        <v>0</v>
      </c>
      <c r="J22887">
        <v>0</v>
      </c>
      <c r="L22887">
        <v>0</v>
      </c>
      <c r="N22887">
        <v>0</v>
      </c>
      <c r="P22887">
        <v>0</v>
      </c>
      <c r="Q22887">
        <v>0</v>
      </c>
      <c r="S22887">
        <v>0</v>
      </c>
    </row>
    <row r="22888" spans="1:19" x14ac:dyDescent="0.3">
      <c r="A22888" t="str">
        <f t="shared" si="20"/>
        <v>Wayne PlaceTIP CombinedOct-24</v>
      </c>
      <c r="B22888" s="171" t="s">
        <v>45806</v>
      </c>
      <c r="C22888" s="171" t="s">
        <v>8193</v>
      </c>
      <c r="D22888" s="171" t="s">
        <v>4</v>
      </c>
      <c r="E22888" s="11">
        <v>45566</v>
      </c>
      <c r="F22888">
        <v>2</v>
      </c>
      <c r="G22888">
        <v>3</v>
      </c>
      <c r="I22888">
        <v>10</v>
      </c>
      <c r="J22888">
        <v>22</v>
      </c>
      <c r="L22888">
        <v>33</v>
      </c>
      <c r="N22888">
        <v>10</v>
      </c>
      <c r="P22888">
        <v>5</v>
      </c>
      <c r="Q22888">
        <v>6</v>
      </c>
      <c r="S22888">
        <v>0</v>
      </c>
    </row>
    <row r="22889" spans="1:19" x14ac:dyDescent="0.3">
      <c r="A22889" t="str">
        <f t="shared" si="20"/>
        <v>Adoptions TogetherTST CombinedOct-24</v>
      </c>
      <c r="B22889" s="171" t="s">
        <v>45807</v>
      </c>
      <c r="C22889" s="171" t="s">
        <v>10522</v>
      </c>
      <c r="D22889" s="171" t="s">
        <v>4</v>
      </c>
      <c r="E22889" s="11">
        <v>45566</v>
      </c>
      <c r="F22889">
        <v>0</v>
      </c>
      <c r="G22889">
        <v>0</v>
      </c>
      <c r="I22889">
        <v>0</v>
      </c>
      <c r="J22889">
        <v>0</v>
      </c>
      <c r="L22889">
        <v>0</v>
      </c>
      <c r="N22889">
        <v>0</v>
      </c>
      <c r="P22889">
        <v>0</v>
      </c>
      <c r="Q22889">
        <v>0</v>
      </c>
      <c r="S22889">
        <v>0</v>
      </c>
    </row>
    <row r="22890" spans="1:19" x14ac:dyDescent="0.3">
      <c r="A22890" t="str">
        <f t="shared" si="20"/>
        <v>ContemporaryTST CombinedOct-24</v>
      </c>
      <c r="B22890" s="171" t="s">
        <v>45808</v>
      </c>
      <c r="C22890" s="171" t="s">
        <v>10525</v>
      </c>
      <c r="D22890" s="171" t="s">
        <v>4</v>
      </c>
      <c r="E22890" s="11">
        <v>45566</v>
      </c>
      <c r="F22890">
        <v>0</v>
      </c>
      <c r="G22890">
        <v>0</v>
      </c>
      <c r="I22890">
        <v>0</v>
      </c>
      <c r="J22890">
        <v>0</v>
      </c>
      <c r="L22890">
        <v>0</v>
      </c>
      <c r="N22890">
        <v>0</v>
      </c>
      <c r="P22890">
        <v>0</v>
      </c>
      <c r="Q22890">
        <v>0</v>
      </c>
      <c r="S22890">
        <v>0</v>
      </c>
    </row>
    <row r="22891" spans="1:19" x14ac:dyDescent="0.3">
      <c r="A22891" t="str">
        <f t="shared" si="20"/>
        <v>Family MattersTST CombinedOct-24</v>
      </c>
      <c r="B22891" s="171" t="s">
        <v>45809</v>
      </c>
      <c r="C22891" s="171" t="s">
        <v>10528</v>
      </c>
      <c r="D22891" s="171" t="s">
        <v>4</v>
      </c>
      <c r="E22891" s="11">
        <v>45566</v>
      </c>
      <c r="F22891">
        <v>0</v>
      </c>
      <c r="G22891">
        <v>0</v>
      </c>
      <c r="I22891">
        <v>0</v>
      </c>
      <c r="J22891">
        <v>0</v>
      </c>
      <c r="L22891">
        <v>0</v>
      </c>
      <c r="N22891">
        <v>0</v>
      </c>
      <c r="P22891">
        <v>0</v>
      </c>
      <c r="Q22891">
        <v>0</v>
      </c>
      <c r="S22891">
        <v>0</v>
      </c>
    </row>
    <row r="22892" spans="1:19" x14ac:dyDescent="0.3">
      <c r="A22892" t="str">
        <f t="shared" si="20"/>
        <v>First Home CareTST CombinedOct-24</v>
      </c>
      <c r="B22892" s="171" t="s">
        <v>45810</v>
      </c>
      <c r="C22892" s="171" t="s">
        <v>10531</v>
      </c>
      <c r="D22892" s="171" t="s">
        <v>4</v>
      </c>
      <c r="E22892" s="11">
        <v>45566</v>
      </c>
      <c r="F22892">
        <v>0</v>
      </c>
      <c r="G22892">
        <v>0</v>
      </c>
      <c r="I22892">
        <v>0</v>
      </c>
      <c r="J22892">
        <v>0</v>
      </c>
      <c r="L22892">
        <v>0</v>
      </c>
      <c r="N22892">
        <v>0</v>
      </c>
      <c r="P22892">
        <v>0</v>
      </c>
      <c r="Q22892">
        <v>0</v>
      </c>
      <c r="S22892">
        <v>0</v>
      </c>
    </row>
    <row r="22893" spans="1:19" x14ac:dyDescent="0.3">
      <c r="A22893" t="str">
        <f t="shared" si="20"/>
        <v>Foundations for Home &amp; CommunityTST CombinedOct-24</v>
      </c>
      <c r="B22893" s="171" t="s">
        <v>45811</v>
      </c>
      <c r="C22893" s="171" t="s">
        <v>14880</v>
      </c>
      <c r="D22893" s="171" t="s">
        <v>4</v>
      </c>
      <c r="E22893" s="11">
        <v>45566</v>
      </c>
      <c r="F22893">
        <v>0</v>
      </c>
      <c r="G22893">
        <v>0</v>
      </c>
      <c r="I22893">
        <v>0</v>
      </c>
      <c r="J22893">
        <v>0</v>
      </c>
      <c r="L22893">
        <v>0</v>
      </c>
      <c r="N22893">
        <v>0</v>
      </c>
      <c r="P22893">
        <v>0</v>
      </c>
      <c r="Q22893">
        <v>0</v>
      </c>
      <c r="S22893">
        <v>0</v>
      </c>
    </row>
    <row r="22894" spans="1:19" x14ac:dyDescent="0.3">
      <c r="A22894" t="str">
        <f t="shared" si="20"/>
        <v>HillcrestTST CombinedOct-24</v>
      </c>
      <c r="B22894" s="171" t="s">
        <v>45812</v>
      </c>
      <c r="C22894" s="171" t="s">
        <v>10534</v>
      </c>
      <c r="D22894" s="171" t="s">
        <v>4</v>
      </c>
      <c r="E22894" s="11">
        <v>45566</v>
      </c>
      <c r="F22894">
        <v>1</v>
      </c>
      <c r="G22894">
        <v>1.5</v>
      </c>
      <c r="I22894">
        <v>6</v>
      </c>
      <c r="J22894">
        <v>5</v>
      </c>
      <c r="L22894">
        <v>8</v>
      </c>
      <c r="N22894">
        <v>6</v>
      </c>
      <c r="P22894">
        <v>0</v>
      </c>
      <c r="Q22894">
        <v>0</v>
      </c>
      <c r="S22894">
        <v>0</v>
      </c>
    </row>
    <row r="22895" spans="1:19" x14ac:dyDescent="0.3">
      <c r="A22895" t="str">
        <f t="shared" si="20"/>
        <v>MD Family ResourcesTST CombinedOct-24</v>
      </c>
      <c r="B22895" s="171" t="s">
        <v>45813</v>
      </c>
      <c r="C22895" s="171" t="s">
        <v>10537</v>
      </c>
      <c r="D22895" s="171" t="s">
        <v>4</v>
      </c>
      <c r="E22895" s="11">
        <v>45566</v>
      </c>
      <c r="F22895">
        <v>0</v>
      </c>
      <c r="G22895">
        <v>1</v>
      </c>
      <c r="I22895">
        <v>0</v>
      </c>
      <c r="J22895">
        <v>0</v>
      </c>
      <c r="L22895">
        <v>6</v>
      </c>
      <c r="N22895">
        <v>0</v>
      </c>
      <c r="P22895">
        <v>0</v>
      </c>
      <c r="Q22895">
        <v>0</v>
      </c>
      <c r="S22895">
        <v>0</v>
      </c>
    </row>
    <row r="22896" spans="1:19" x14ac:dyDescent="0.3">
      <c r="A22896" t="str">
        <f t="shared" si="20"/>
        <v>Marys CenterCPP-FV CombinedOct-24</v>
      </c>
      <c r="B22896" s="171" t="s">
        <v>45814</v>
      </c>
      <c r="C22896" s="171" t="s">
        <v>15347</v>
      </c>
      <c r="D22896" s="171" t="s">
        <v>4</v>
      </c>
      <c r="E22896" s="11">
        <v>45566</v>
      </c>
      <c r="F22896">
        <v>1.5</v>
      </c>
      <c r="G22896">
        <v>2.5</v>
      </c>
      <c r="I22896">
        <v>5</v>
      </c>
      <c r="J22896">
        <v>9</v>
      </c>
      <c r="L22896">
        <v>15</v>
      </c>
      <c r="N22896">
        <v>5</v>
      </c>
      <c r="P22896">
        <v>0</v>
      </c>
      <c r="Q22896">
        <v>0</v>
      </c>
      <c r="S22896">
        <v>0</v>
      </c>
    </row>
    <row r="22897" spans="1:19" x14ac:dyDescent="0.3">
      <c r="A22897" t="str">
        <f t="shared" si="20"/>
        <v>PIECECPP-FV CombinedOct-24</v>
      </c>
      <c r="B22897" s="171" t="s">
        <v>45815</v>
      </c>
      <c r="C22897" s="171" t="s">
        <v>203</v>
      </c>
      <c r="D22897" s="171" t="s">
        <v>4</v>
      </c>
      <c r="E22897" s="11">
        <v>45566</v>
      </c>
      <c r="F22897">
        <v>3</v>
      </c>
      <c r="G22897">
        <v>2.5</v>
      </c>
      <c r="I22897">
        <v>3</v>
      </c>
      <c r="J22897">
        <v>15</v>
      </c>
      <c r="L22897">
        <v>13</v>
      </c>
      <c r="N22897">
        <v>3</v>
      </c>
      <c r="P22897">
        <v>0</v>
      </c>
      <c r="Q22897">
        <v>0</v>
      </c>
      <c r="S22897">
        <v>0</v>
      </c>
    </row>
    <row r="22898" spans="1:19" x14ac:dyDescent="0.3">
      <c r="A22898" t="str">
        <f t="shared" si="20"/>
        <v>Community ConnectionsCPP-FV CombinedOct-24</v>
      </c>
      <c r="B22898" s="171" t="s">
        <v>45816</v>
      </c>
      <c r="C22898" s="171" t="s">
        <v>15340</v>
      </c>
      <c r="D22898" s="171" t="s">
        <v>4</v>
      </c>
      <c r="E22898" s="11">
        <v>45566</v>
      </c>
      <c r="F22898">
        <v>0</v>
      </c>
      <c r="G22898">
        <v>0</v>
      </c>
      <c r="I22898">
        <v>0</v>
      </c>
      <c r="J22898">
        <v>0</v>
      </c>
      <c r="L22898">
        <v>0</v>
      </c>
      <c r="N22898">
        <v>0</v>
      </c>
      <c r="P22898">
        <v>0</v>
      </c>
      <c r="Q22898">
        <v>0</v>
      </c>
      <c r="S22898">
        <v>0</v>
      </c>
    </row>
    <row r="22899" spans="1:19" x14ac:dyDescent="0.3">
      <c r="A22899" t="str">
        <f t="shared" ref="A22899:A22962" si="21">C22899&amp;" "&amp;D22899&amp;"Oct-24"</f>
        <v>Community ConnectionsPCIT CombinedOct-24</v>
      </c>
      <c r="B22899" s="171" t="s">
        <v>45817</v>
      </c>
      <c r="C22899" s="171" t="s">
        <v>16544</v>
      </c>
      <c r="D22899" s="171" t="s">
        <v>4</v>
      </c>
      <c r="E22899" s="11">
        <v>45566</v>
      </c>
      <c r="F22899">
        <v>0</v>
      </c>
      <c r="G22899">
        <v>0</v>
      </c>
      <c r="I22899">
        <v>0</v>
      </c>
      <c r="J22899">
        <v>0</v>
      </c>
      <c r="L22899">
        <v>0</v>
      </c>
      <c r="N22899">
        <v>0</v>
      </c>
      <c r="P22899">
        <v>0</v>
      </c>
      <c r="Q22899">
        <v>0</v>
      </c>
      <c r="S22899">
        <v>0</v>
      </c>
    </row>
    <row r="22900" spans="1:19" x14ac:dyDescent="0.3">
      <c r="A22900" t="str">
        <f t="shared" si="21"/>
        <v>Marys CenterPCIT CombinedOct-24</v>
      </c>
      <c r="B22900" s="171" t="s">
        <v>45818</v>
      </c>
      <c r="C22900" s="171" t="s">
        <v>176</v>
      </c>
      <c r="D22900" s="171" t="s">
        <v>4</v>
      </c>
      <c r="E22900" s="11">
        <v>45566</v>
      </c>
      <c r="F22900">
        <v>2</v>
      </c>
      <c r="G22900">
        <v>2</v>
      </c>
      <c r="I22900">
        <v>1</v>
      </c>
      <c r="J22900">
        <v>11</v>
      </c>
      <c r="L22900">
        <v>11</v>
      </c>
      <c r="N22900">
        <v>1</v>
      </c>
      <c r="P22900">
        <v>0</v>
      </c>
      <c r="Q22900">
        <v>0</v>
      </c>
      <c r="S22900">
        <v>0</v>
      </c>
    </row>
    <row r="22901" spans="1:19" x14ac:dyDescent="0.3">
      <c r="A22901" t="str">
        <f t="shared" si="21"/>
        <v>PIECEPCIT CombinedOct-24</v>
      </c>
      <c r="B22901" s="171" t="s">
        <v>45819</v>
      </c>
      <c r="C22901" s="171" t="s">
        <v>206</v>
      </c>
      <c r="D22901" s="171" t="s">
        <v>4</v>
      </c>
      <c r="E22901" s="11">
        <v>45566</v>
      </c>
      <c r="F22901">
        <v>1.5</v>
      </c>
      <c r="G22901">
        <v>1.5</v>
      </c>
      <c r="I22901">
        <v>2</v>
      </c>
      <c r="J22901">
        <v>7</v>
      </c>
      <c r="L22901">
        <v>7</v>
      </c>
      <c r="N22901">
        <v>2</v>
      </c>
      <c r="P22901">
        <v>0</v>
      </c>
      <c r="Q22901">
        <v>0</v>
      </c>
      <c r="S22901">
        <v>0</v>
      </c>
    </row>
    <row r="22902" spans="1:19" x14ac:dyDescent="0.3">
      <c r="A22902" t="str">
        <f t="shared" si="21"/>
        <v>Better MorningsFFT FFOct-24</v>
      </c>
      <c r="B22902" s="171" t="s">
        <v>45707</v>
      </c>
      <c r="C22902" s="171" t="s">
        <v>24284</v>
      </c>
      <c r="D22902" s="171" t="s">
        <v>80</v>
      </c>
      <c r="E22902" s="11">
        <v>45566</v>
      </c>
      <c r="F22902">
        <v>7</v>
      </c>
      <c r="G22902">
        <v>7</v>
      </c>
      <c r="I22902">
        <v>21</v>
      </c>
      <c r="J22902">
        <v>33</v>
      </c>
      <c r="L22902">
        <v>33</v>
      </c>
      <c r="N22902">
        <v>12</v>
      </c>
      <c r="P22902">
        <v>0</v>
      </c>
      <c r="Q22902">
        <v>0</v>
      </c>
      <c r="S22902">
        <v>9</v>
      </c>
    </row>
    <row r="22903" spans="1:19" x14ac:dyDescent="0.3">
      <c r="A22903" t="str">
        <f t="shared" si="21"/>
        <v>CatholicAll FFOct-24</v>
      </c>
      <c r="B22903" s="171" t="s">
        <v>45820</v>
      </c>
      <c r="C22903" s="171" t="s">
        <v>18229</v>
      </c>
      <c r="D22903" s="171" t="s">
        <v>80</v>
      </c>
      <c r="E22903" s="11">
        <v>45566</v>
      </c>
      <c r="F22903">
        <v>0</v>
      </c>
      <c r="G22903">
        <v>0</v>
      </c>
      <c r="I22903">
        <v>0</v>
      </c>
      <c r="J22903">
        <v>0</v>
      </c>
      <c r="L22903">
        <v>0</v>
      </c>
      <c r="N22903">
        <v>0</v>
      </c>
      <c r="P22903">
        <v>0</v>
      </c>
      <c r="Q22903">
        <v>0</v>
      </c>
      <c r="S22903">
        <v>0</v>
      </c>
    </row>
    <row r="22904" spans="1:19" x14ac:dyDescent="0.3">
      <c r="A22904" t="str">
        <f t="shared" si="21"/>
        <v>ContemporaryAll FFOct-24</v>
      </c>
      <c r="B22904" s="171" t="s">
        <v>45821</v>
      </c>
      <c r="C22904" s="171" t="s">
        <v>9887</v>
      </c>
      <c r="D22904" s="171" t="s">
        <v>80</v>
      </c>
      <c r="E22904" s="11">
        <v>45566</v>
      </c>
      <c r="F22904">
        <v>0</v>
      </c>
      <c r="G22904">
        <v>0</v>
      </c>
      <c r="I22904">
        <v>0</v>
      </c>
      <c r="J22904">
        <v>0</v>
      </c>
      <c r="L22904">
        <v>0</v>
      </c>
      <c r="N22904">
        <v>0</v>
      </c>
      <c r="P22904">
        <v>0</v>
      </c>
      <c r="Q22904">
        <v>0</v>
      </c>
      <c r="S22904">
        <v>0</v>
      </c>
    </row>
    <row r="22905" spans="1:19" x14ac:dyDescent="0.3">
      <c r="A22905" t="str">
        <f t="shared" si="21"/>
        <v>DBH Parent SupportAll FFOct-24</v>
      </c>
      <c r="B22905" s="171" t="s">
        <v>45822</v>
      </c>
      <c r="C22905" s="171" t="s">
        <v>35010</v>
      </c>
      <c r="D22905" s="171" t="s">
        <v>80</v>
      </c>
      <c r="E22905" s="11">
        <v>45566</v>
      </c>
      <c r="F22905">
        <v>0</v>
      </c>
      <c r="G22905">
        <v>0</v>
      </c>
      <c r="I22905">
        <v>0</v>
      </c>
      <c r="J22905">
        <v>0</v>
      </c>
      <c r="L22905">
        <v>0</v>
      </c>
      <c r="N22905">
        <v>0</v>
      </c>
      <c r="P22905">
        <v>0</v>
      </c>
      <c r="Q22905">
        <v>0</v>
      </c>
      <c r="S22905">
        <v>0</v>
      </c>
    </row>
    <row r="22906" spans="1:19" x14ac:dyDescent="0.3">
      <c r="A22906" t="str">
        <f t="shared" si="21"/>
        <v>Family MattersAll FFOct-24</v>
      </c>
      <c r="B22906" s="171" t="s">
        <v>45823</v>
      </c>
      <c r="C22906" s="171" t="s">
        <v>11260</v>
      </c>
      <c r="D22906" s="171" t="s">
        <v>80</v>
      </c>
      <c r="E22906" s="11">
        <v>45566</v>
      </c>
      <c r="F22906">
        <v>0</v>
      </c>
      <c r="G22906">
        <v>0</v>
      </c>
      <c r="I22906">
        <v>0</v>
      </c>
      <c r="J22906">
        <v>0</v>
      </c>
      <c r="L22906">
        <v>0</v>
      </c>
      <c r="N22906">
        <v>0</v>
      </c>
      <c r="P22906">
        <v>0</v>
      </c>
      <c r="Q22906">
        <v>0</v>
      </c>
      <c r="S22906">
        <v>0</v>
      </c>
    </row>
    <row r="22907" spans="1:19" x14ac:dyDescent="0.3">
      <c r="A22907" t="str">
        <f t="shared" si="21"/>
        <v>Federal City All FFOct-24</v>
      </c>
      <c r="B22907" s="171" t="s">
        <v>45824</v>
      </c>
      <c r="C22907" s="171" t="s">
        <v>21284</v>
      </c>
      <c r="D22907" s="171" t="s">
        <v>80</v>
      </c>
      <c r="E22907" s="11">
        <v>45566</v>
      </c>
      <c r="F22907">
        <v>0</v>
      </c>
      <c r="G22907">
        <v>0</v>
      </c>
      <c r="I22907">
        <v>0</v>
      </c>
      <c r="J22907">
        <v>0</v>
      </c>
      <c r="L22907">
        <v>0</v>
      </c>
      <c r="N22907">
        <v>0</v>
      </c>
      <c r="P22907">
        <v>0</v>
      </c>
      <c r="Q22907">
        <v>0</v>
      </c>
      <c r="S22907">
        <v>0</v>
      </c>
    </row>
    <row r="22908" spans="1:19" x14ac:dyDescent="0.3">
      <c r="A22908" t="str">
        <f t="shared" si="21"/>
        <v>First Home CareAll FFOct-24</v>
      </c>
      <c r="B22908" s="171" t="s">
        <v>45825</v>
      </c>
      <c r="C22908" s="171" t="s">
        <v>125</v>
      </c>
      <c r="D22908" s="171" t="s">
        <v>80</v>
      </c>
      <c r="E22908" s="11">
        <v>45566</v>
      </c>
      <c r="F22908">
        <v>0</v>
      </c>
      <c r="G22908">
        <v>0</v>
      </c>
      <c r="I22908">
        <v>0</v>
      </c>
      <c r="J22908">
        <v>0</v>
      </c>
      <c r="L22908">
        <v>0</v>
      </c>
      <c r="N22908">
        <v>0</v>
      </c>
      <c r="P22908">
        <v>0</v>
      </c>
      <c r="Q22908">
        <v>0</v>
      </c>
      <c r="S22908">
        <v>0</v>
      </c>
    </row>
    <row r="22909" spans="1:19" x14ac:dyDescent="0.3">
      <c r="A22909" t="str">
        <f t="shared" si="21"/>
        <v>Foundations for Home &amp; CommunityAll FFOct-24</v>
      </c>
      <c r="B22909" s="171" t="s">
        <v>45826</v>
      </c>
      <c r="C22909" s="171" t="s">
        <v>14899</v>
      </c>
      <c r="D22909" s="171" t="s">
        <v>80</v>
      </c>
      <c r="E22909" s="11">
        <v>45566</v>
      </c>
      <c r="F22909">
        <v>0</v>
      </c>
      <c r="G22909">
        <v>0</v>
      </c>
      <c r="I22909">
        <v>0</v>
      </c>
      <c r="J22909">
        <v>0</v>
      </c>
      <c r="L22909">
        <v>0</v>
      </c>
      <c r="N22909">
        <v>0</v>
      </c>
      <c r="P22909">
        <v>0</v>
      </c>
      <c r="Q22909">
        <v>0</v>
      </c>
      <c r="S22909">
        <v>0</v>
      </c>
    </row>
    <row r="22910" spans="1:19" x14ac:dyDescent="0.3">
      <c r="A22910" t="str">
        <f t="shared" si="21"/>
        <v>FPSAll FFOct-24</v>
      </c>
      <c r="B22910" s="171" t="s">
        <v>45827</v>
      </c>
      <c r="C22910" s="171" t="s">
        <v>137</v>
      </c>
      <c r="D22910" s="171" t="s">
        <v>80</v>
      </c>
      <c r="E22910" s="11">
        <v>45566</v>
      </c>
      <c r="F22910">
        <v>0</v>
      </c>
      <c r="G22910">
        <v>0</v>
      </c>
      <c r="I22910">
        <v>0</v>
      </c>
      <c r="J22910">
        <v>0</v>
      </c>
      <c r="L22910">
        <v>0</v>
      </c>
      <c r="N22910">
        <v>0</v>
      </c>
      <c r="P22910">
        <v>0</v>
      </c>
      <c r="Q22910">
        <v>0</v>
      </c>
      <c r="S22910">
        <v>0</v>
      </c>
    </row>
    <row r="22911" spans="1:19" x14ac:dyDescent="0.3">
      <c r="A22911" t="str">
        <f t="shared" si="21"/>
        <v>Green DoorAll FFOct-24</v>
      </c>
      <c r="B22911" s="171" t="s">
        <v>45828</v>
      </c>
      <c r="C22911" s="171" t="s">
        <v>8615</v>
      </c>
      <c r="D22911" s="171" t="s">
        <v>80</v>
      </c>
      <c r="E22911" s="11">
        <v>45566</v>
      </c>
      <c r="F22911">
        <v>0</v>
      </c>
      <c r="G22911">
        <v>0</v>
      </c>
      <c r="I22911">
        <v>0</v>
      </c>
      <c r="J22911">
        <v>0</v>
      </c>
      <c r="L22911">
        <v>0</v>
      </c>
      <c r="N22911">
        <v>0</v>
      </c>
      <c r="P22911">
        <v>0</v>
      </c>
      <c r="Q22911">
        <v>0</v>
      </c>
      <c r="S22911">
        <v>0</v>
      </c>
    </row>
    <row r="22912" spans="1:19" x14ac:dyDescent="0.3">
      <c r="A22912" t="str">
        <f t="shared" si="21"/>
        <v>Healthy FuturesAll FFOct-24</v>
      </c>
      <c r="B22912" s="171" t="s">
        <v>45829</v>
      </c>
      <c r="C22912" s="171" t="s">
        <v>35025</v>
      </c>
      <c r="D22912" s="171" t="s">
        <v>80</v>
      </c>
      <c r="E22912" s="11">
        <v>45566</v>
      </c>
      <c r="F22912">
        <v>0</v>
      </c>
      <c r="G22912">
        <v>0</v>
      </c>
      <c r="I22912">
        <v>0</v>
      </c>
      <c r="J22912">
        <v>0</v>
      </c>
      <c r="L22912">
        <v>0</v>
      </c>
      <c r="N22912">
        <v>0</v>
      </c>
      <c r="P22912">
        <v>0</v>
      </c>
      <c r="Q22912">
        <v>0</v>
      </c>
      <c r="S22912">
        <v>0</v>
      </c>
    </row>
    <row r="22913" spans="1:19" x14ac:dyDescent="0.3">
      <c r="A22913" t="str">
        <f t="shared" si="21"/>
        <v>HillcrestAll FFOct-24</v>
      </c>
      <c r="B22913" s="171" t="s">
        <v>45830</v>
      </c>
      <c r="C22913" s="171" t="s">
        <v>146</v>
      </c>
      <c r="D22913" s="171" t="s">
        <v>80</v>
      </c>
      <c r="E22913" s="11">
        <v>45566</v>
      </c>
      <c r="F22913">
        <v>7.5</v>
      </c>
      <c r="G22913">
        <v>11.5</v>
      </c>
      <c r="I22913">
        <v>28</v>
      </c>
      <c r="J22913">
        <v>37</v>
      </c>
      <c r="L22913">
        <v>55</v>
      </c>
      <c r="N22913">
        <v>23</v>
      </c>
      <c r="P22913">
        <v>0</v>
      </c>
      <c r="Q22913">
        <v>0</v>
      </c>
      <c r="S22913">
        <v>5</v>
      </c>
    </row>
    <row r="22914" spans="1:19" x14ac:dyDescent="0.3">
      <c r="A22914" t="str">
        <f t="shared" si="21"/>
        <v>LAYCAll FFOct-24</v>
      </c>
      <c r="B22914" s="171" t="s">
        <v>45831</v>
      </c>
      <c r="C22914" s="171" t="s">
        <v>161</v>
      </c>
      <c r="D22914" s="171" t="s">
        <v>80</v>
      </c>
      <c r="E22914" s="11">
        <v>45566</v>
      </c>
      <c r="F22914">
        <v>2</v>
      </c>
      <c r="G22914">
        <v>3.5</v>
      </c>
      <c r="I22914">
        <v>6</v>
      </c>
      <c r="J22914">
        <v>12</v>
      </c>
      <c r="L22914">
        <v>21</v>
      </c>
      <c r="N22914">
        <v>3</v>
      </c>
      <c r="P22914">
        <v>0</v>
      </c>
      <c r="Q22914">
        <v>0</v>
      </c>
      <c r="S22914">
        <v>3</v>
      </c>
    </row>
    <row r="22915" spans="1:19" x14ac:dyDescent="0.3">
      <c r="A22915" t="str">
        <f t="shared" si="21"/>
        <v>LCSAll FFOct-24</v>
      </c>
      <c r="B22915" s="171" t="s">
        <v>45832</v>
      </c>
      <c r="C22915" s="171" t="s">
        <v>18252</v>
      </c>
      <c r="D22915" s="171" t="s">
        <v>80</v>
      </c>
      <c r="E22915" s="11">
        <v>45566</v>
      </c>
      <c r="F22915">
        <v>0</v>
      </c>
      <c r="G22915">
        <v>0</v>
      </c>
      <c r="I22915">
        <v>0</v>
      </c>
      <c r="J22915">
        <v>0</v>
      </c>
      <c r="L22915">
        <v>0</v>
      </c>
      <c r="N22915">
        <v>0</v>
      </c>
      <c r="P22915">
        <v>0</v>
      </c>
      <c r="Q22915">
        <v>0</v>
      </c>
      <c r="S22915">
        <v>0</v>
      </c>
    </row>
    <row r="22916" spans="1:19" x14ac:dyDescent="0.3">
      <c r="A22916" t="str">
        <f t="shared" si="21"/>
        <v>LESAll FFOct-24</v>
      </c>
      <c r="B22916" s="171" t="s">
        <v>45833</v>
      </c>
      <c r="C22916" s="171" t="s">
        <v>167</v>
      </c>
      <c r="D22916" s="171" t="s">
        <v>80</v>
      </c>
      <c r="E22916" s="11">
        <v>45566</v>
      </c>
      <c r="F22916">
        <v>2.5</v>
      </c>
      <c r="G22916">
        <v>2.5</v>
      </c>
      <c r="I22916">
        <v>12</v>
      </c>
      <c r="J22916">
        <v>35</v>
      </c>
      <c r="L22916">
        <v>35</v>
      </c>
      <c r="N22916">
        <v>12</v>
      </c>
      <c r="P22916">
        <v>0</v>
      </c>
      <c r="Q22916">
        <v>0</v>
      </c>
      <c r="S22916">
        <v>0</v>
      </c>
    </row>
    <row r="22917" spans="1:19" x14ac:dyDescent="0.3">
      <c r="A22917" t="str">
        <f t="shared" si="21"/>
        <v>MBI HSAll FFOct-24</v>
      </c>
      <c r="B22917" s="171" t="s">
        <v>45834</v>
      </c>
      <c r="C22917" s="171" t="s">
        <v>179</v>
      </c>
      <c r="D22917" s="171" t="s">
        <v>80</v>
      </c>
      <c r="E22917" s="11">
        <v>45566</v>
      </c>
      <c r="F22917">
        <v>11</v>
      </c>
      <c r="G22917">
        <v>15</v>
      </c>
      <c r="I22917">
        <v>59</v>
      </c>
      <c r="J22917">
        <v>98</v>
      </c>
      <c r="L22917">
        <v>130</v>
      </c>
      <c r="N22917">
        <v>48</v>
      </c>
      <c r="P22917">
        <v>0</v>
      </c>
      <c r="Q22917">
        <v>0</v>
      </c>
      <c r="S22917">
        <v>11</v>
      </c>
    </row>
    <row r="22918" spans="1:19" x14ac:dyDescent="0.3">
      <c r="A22918" t="str">
        <f t="shared" si="21"/>
        <v>MD Family ResourcesAll FFOct-24</v>
      </c>
      <c r="B22918" s="171" t="s">
        <v>45835</v>
      </c>
      <c r="C22918" s="171" t="s">
        <v>185</v>
      </c>
      <c r="D22918" s="171" t="s">
        <v>80</v>
      </c>
      <c r="E22918" s="11">
        <v>45566</v>
      </c>
      <c r="F22918">
        <v>1.5</v>
      </c>
      <c r="G22918">
        <v>8.5</v>
      </c>
      <c r="I22918">
        <v>3</v>
      </c>
      <c r="J22918">
        <v>8</v>
      </c>
      <c r="L22918">
        <v>42</v>
      </c>
      <c r="N22918">
        <v>3</v>
      </c>
      <c r="P22918">
        <v>0</v>
      </c>
      <c r="Q22918">
        <v>0</v>
      </c>
      <c r="S22918">
        <v>0</v>
      </c>
    </row>
    <row r="22919" spans="1:19" x14ac:dyDescent="0.3">
      <c r="A22919" t="str">
        <f t="shared" si="21"/>
        <v>PASSAll FFOct-24</v>
      </c>
      <c r="B22919" s="171" t="s">
        <v>45836</v>
      </c>
      <c r="C22919" s="171" t="s">
        <v>191</v>
      </c>
      <c r="D22919" s="171" t="s">
        <v>80</v>
      </c>
      <c r="E22919" s="11">
        <v>45566</v>
      </c>
      <c r="F22919">
        <v>10</v>
      </c>
      <c r="G22919">
        <v>13</v>
      </c>
      <c r="I22919">
        <v>76</v>
      </c>
      <c r="J22919">
        <v>92</v>
      </c>
      <c r="L22919">
        <v>107</v>
      </c>
      <c r="N22919">
        <v>67</v>
      </c>
      <c r="P22919">
        <v>0</v>
      </c>
      <c r="Q22919">
        <v>0</v>
      </c>
      <c r="S22919">
        <v>9</v>
      </c>
    </row>
    <row r="22920" spans="1:19" x14ac:dyDescent="0.3">
      <c r="A22920" t="str">
        <f t="shared" si="21"/>
        <v>RiversideAll FFOct-24</v>
      </c>
      <c r="B22920" s="171" t="s">
        <v>45837</v>
      </c>
      <c r="C22920" s="171" t="s">
        <v>212</v>
      </c>
      <c r="D22920" s="171" t="s">
        <v>80</v>
      </c>
      <c r="E22920" s="11">
        <v>45566</v>
      </c>
      <c r="F22920">
        <v>0</v>
      </c>
      <c r="G22920">
        <v>0</v>
      </c>
      <c r="I22920">
        <v>0</v>
      </c>
      <c r="J22920">
        <v>0</v>
      </c>
      <c r="L22920">
        <v>0</v>
      </c>
      <c r="N22920">
        <v>0</v>
      </c>
      <c r="P22920">
        <v>0</v>
      </c>
      <c r="Q22920">
        <v>0</v>
      </c>
      <c r="S22920">
        <v>0</v>
      </c>
    </row>
    <row r="22921" spans="1:19" x14ac:dyDescent="0.3">
      <c r="A22921" t="str">
        <f t="shared" si="21"/>
        <v>TFCCAll FFOct-24</v>
      </c>
      <c r="B22921" s="171" t="s">
        <v>45838</v>
      </c>
      <c r="C22921" s="171" t="s">
        <v>215</v>
      </c>
      <c r="D22921" s="171" t="s">
        <v>80</v>
      </c>
      <c r="E22921" s="11">
        <v>45566</v>
      </c>
      <c r="F22921">
        <v>0</v>
      </c>
      <c r="G22921">
        <v>0</v>
      </c>
      <c r="I22921">
        <v>0</v>
      </c>
      <c r="J22921">
        <v>0</v>
      </c>
      <c r="L22921">
        <v>0</v>
      </c>
      <c r="N22921">
        <v>0</v>
      </c>
      <c r="P22921">
        <v>0</v>
      </c>
      <c r="Q22921">
        <v>0</v>
      </c>
      <c r="S22921">
        <v>0</v>
      </c>
    </row>
    <row r="22922" spans="1:19" x14ac:dyDescent="0.3">
      <c r="A22922" t="str">
        <f t="shared" si="21"/>
        <v>TFCCAll FFOct-24</v>
      </c>
      <c r="B22922" s="171" t="s">
        <v>45838</v>
      </c>
      <c r="C22922" s="171" t="s">
        <v>215</v>
      </c>
      <c r="D22922" s="171" t="s">
        <v>80</v>
      </c>
      <c r="E22922" s="11">
        <v>45566</v>
      </c>
      <c r="F22922">
        <v>6</v>
      </c>
      <c r="G22922">
        <v>6</v>
      </c>
      <c r="I22922">
        <v>33</v>
      </c>
      <c r="J22922">
        <v>66</v>
      </c>
      <c r="L22922">
        <v>66</v>
      </c>
      <c r="N22922">
        <v>33</v>
      </c>
      <c r="P22922">
        <v>0</v>
      </c>
      <c r="Q22922">
        <v>0</v>
      </c>
      <c r="S22922">
        <v>0</v>
      </c>
    </row>
    <row r="22923" spans="1:19" x14ac:dyDescent="0.3">
      <c r="A22923" t="str">
        <f t="shared" si="21"/>
        <v>UniversalAll FFOct-24</v>
      </c>
      <c r="B22923" s="171" t="s">
        <v>45839</v>
      </c>
      <c r="C22923" s="171" t="s">
        <v>221</v>
      </c>
      <c r="D22923" s="171" t="s">
        <v>80</v>
      </c>
      <c r="E22923" s="11">
        <v>45566</v>
      </c>
      <c r="F22923">
        <v>0</v>
      </c>
      <c r="G22923">
        <v>0</v>
      </c>
      <c r="I22923">
        <v>0</v>
      </c>
      <c r="J22923">
        <v>0</v>
      </c>
      <c r="L22923">
        <v>0</v>
      </c>
      <c r="N22923">
        <v>0</v>
      </c>
      <c r="P22923">
        <v>0</v>
      </c>
      <c r="Q22923">
        <v>0</v>
      </c>
      <c r="S22923">
        <v>0</v>
      </c>
    </row>
    <row r="22924" spans="1:19" x14ac:dyDescent="0.3">
      <c r="A22924" t="str">
        <f t="shared" si="21"/>
        <v>Wayne PlaceAll FFOct-24</v>
      </c>
      <c r="B22924" s="171" t="s">
        <v>45840</v>
      </c>
      <c r="C22924" s="171" t="s">
        <v>8233</v>
      </c>
      <c r="D22924" s="171" t="s">
        <v>80</v>
      </c>
      <c r="E22924" s="11">
        <v>45566</v>
      </c>
      <c r="F22924">
        <v>2</v>
      </c>
      <c r="G22924">
        <v>3</v>
      </c>
      <c r="I22924">
        <v>10</v>
      </c>
      <c r="J22924">
        <v>22</v>
      </c>
      <c r="L22924">
        <v>33</v>
      </c>
      <c r="N22924">
        <v>10</v>
      </c>
      <c r="P22924">
        <v>0</v>
      </c>
      <c r="Q22924">
        <v>0</v>
      </c>
      <c r="S22924">
        <v>0</v>
      </c>
    </row>
    <row r="22925" spans="1:19" x14ac:dyDescent="0.3">
      <c r="A22925" t="str">
        <f t="shared" si="21"/>
        <v>Youth VillagesAll FFOct-24</v>
      </c>
      <c r="B22925" s="171" t="s">
        <v>45841</v>
      </c>
      <c r="C22925" s="171" t="s">
        <v>233</v>
      </c>
      <c r="D22925" s="171" t="s">
        <v>80</v>
      </c>
      <c r="E22925" s="11">
        <v>45566</v>
      </c>
      <c r="F22925">
        <v>0</v>
      </c>
      <c r="G22925">
        <v>0</v>
      </c>
      <c r="I22925">
        <v>0</v>
      </c>
      <c r="J22925">
        <v>0</v>
      </c>
      <c r="L22925">
        <v>0</v>
      </c>
      <c r="N22925">
        <v>0</v>
      </c>
      <c r="P22925">
        <v>0</v>
      </c>
      <c r="Q22925">
        <v>0</v>
      </c>
      <c r="S22925">
        <v>0</v>
      </c>
    </row>
    <row r="22926" spans="1:19" x14ac:dyDescent="0.3">
      <c r="A22926" t="str">
        <f t="shared" si="21"/>
        <v>Medstar GeorgetownAll DCSOct-24</v>
      </c>
      <c r="B22926" s="171" t="s">
        <v>45842</v>
      </c>
      <c r="C22926" s="171" t="s">
        <v>24508</v>
      </c>
      <c r="D22926" s="171" t="s">
        <v>15341</v>
      </c>
      <c r="E22926" s="11">
        <v>45566</v>
      </c>
      <c r="F22926">
        <v>0</v>
      </c>
      <c r="G22926">
        <v>0</v>
      </c>
      <c r="I22926">
        <v>0</v>
      </c>
      <c r="J22926">
        <v>0</v>
      </c>
      <c r="L22926">
        <v>0</v>
      </c>
      <c r="N22926">
        <v>0</v>
      </c>
      <c r="P22926">
        <v>0</v>
      </c>
      <c r="Q22926">
        <v>0</v>
      </c>
      <c r="S22926">
        <v>0</v>
      </c>
    </row>
    <row r="22927" spans="1:19" x14ac:dyDescent="0.3">
      <c r="A22927" t="str">
        <f t="shared" si="21"/>
        <v>Medstar GeorgetownAll FFOct-24</v>
      </c>
      <c r="B22927" s="171" t="s">
        <v>45843</v>
      </c>
      <c r="C22927" s="171" t="s">
        <v>24508</v>
      </c>
      <c r="D22927" s="171" t="s">
        <v>80</v>
      </c>
      <c r="E22927" s="11">
        <v>45566</v>
      </c>
      <c r="F22927">
        <v>0</v>
      </c>
      <c r="G22927">
        <v>0</v>
      </c>
      <c r="I22927">
        <v>0</v>
      </c>
      <c r="J22927">
        <v>0</v>
      </c>
      <c r="L22927">
        <v>0</v>
      </c>
      <c r="N22927">
        <v>0</v>
      </c>
      <c r="P22927">
        <v>0</v>
      </c>
      <c r="Q22927">
        <v>0</v>
      </c>
      <c r="S22927">
        <v>0</v>
      </c>
    </row>
    <row r="22928" spans="1:19" x14ac:dyDescent="0.3">
      <c r="A22928" t="str">
        <f t="shared" si="21"/>
        <v>Community ConnectionsAll FFOct-24</v>
      </c>
      <c r="B22928" s="171" t="s">
        <v>45844</v>
      </c>
      <c r="C22928" s="171" t="s">
        <v>107</v>
      </c>
      <c r="D22928" s="171" t="s">
        <v>80</v>
      </c>
      <c r="E22928" s="11">
        <v>45566</v>
      </c>
      <c r="F22928">
        <v>0</v>
      </c>
      <c r="G22928">
        <v>0</v>
      </c>
      <c r="I22928">
        <v>0</v>
      </c>
      <c r="J22928">
        <v>0</v>
      </c>
      <c r="L22928">
        <v>0</v>
      </c>
      <c r="N22928">
        <v>0</v>
      </c>
      <c r="P22928">
        <v>0</v>
      </c>
      <c r="Q22928">
        <v>0</v>
      </c>
      <c r="S22928">
        <v>0</v>
      </c>
    </row>
    <row r="22929" spans="1:19" x14ac:dyDescent="0.3">
      <c r="A22929" t="str">
        <f t="shared" si="21"/>
        <v>Community ConnectionsAll DCSOct-24</v>
      </c>
      <c r="B22929" s="171" t="s">
        <v>45845</v>
      </c>
      <c r="C22929" s="171" t="s">
        <v>107</v>
      </c>
      <c r="D22929" s="171" t="s">
        <v>15341</v>
      </c>
      <c r="E22929" s="11">
        <v>45566</v>
      </c>
      <c r="F22929">
        <v>0</v>
      </c>
      <c r="G22929">
        <v>0</v>
      </c>
      <c r="I22929">
        <v>0</v>
      </c>
      <c r="J22929">
        <v>0</v>
      </c>
      <c r="L22929">
        <v>0</v>
      </c>
      <c r="N22929">
        <v>0</v>
      </c>
      <c r="P22929">
        <v>0</v>
      </c>
      <c r="Q22929">
        <v>0</v>
      </c>
      <c r="S22929">
        <v>0</v>
      </c>
    </row>
    <row r="22930" spans="1:19" x14ac:dyDescent="0.3">
      <c r="A22930" t="str">
        <f t="shared" si="21"/>
        <v>Marys CenterAll FFOct-24</v>
      </c>
      <c r="B22930" s="171" t="s">
        <v>45846</v>
      </c>
      <c r="C22930" s="171" t="s">
        <v>173</v>
      </c>
      <c r="D22930" s="171" t="s">
        <v>80</v>
      </c>
      <c r="E22930" s="11">
        <v>45566</v>
      </c>
      <c r="F22930">
        <v>5</v>
      </c>
      <c r="G22930">
        <v>6.5</v>
      </c>
      <c r="I22930">
        <v>7</v>
      </c>
      <c r="J22930">
        <v>29</v>
      </c>
      <c r="L22930">
        <v>37</v>
      </c>
      <c r="N22930">
        <v>7</v>
      </c>
      <c r="P22930">
        <v>0</v>
      </c>
      <c r="Q22930">
        <v>0</v>
      </c>
      <c r="S22930">
        <v>0</v>
      </c>
    </row>
    <row r="22931" spans="1:19" x14ac:dyDescent="0.3">
      <c r="A22931" t="str">
        <f t="shared" si="21"/>
        <v>Marys CenterAll DCSOct-24</v>
      </c>
      <c r="B22931" s="171" t="s">
        <v>45847</v>
      </c>
      <c r="C22931" s="171" t="s">
        <v>173</v>
      </c>
      <c r="D22931" s="171" t="s">
        <v>15341</v>
      </c>
      <c r="E22931" s="11">
        <v>45566</v>
      </c>
      <c r="F22931">
        <v>0</v>
      </c>
      <c r="G22931">
        <v>0</v>
      </c>
      <c r="I22931">
        <v>0</v>
      </c>
      <c r="J22931">
        <v>0</v>
      </c>
      <c r="L22931">
        <v>0</v>
      </c>
      <c r="N22931">
        <v>0</v>
      </c>
      <c r="P22931">
        <v>0</v>
      </c>
      <c r="Q22931">
        <v>0</v>
      </c>
      <c r="S22931">
        <v>0</v>
      </c>
    </row>
    <row r="22932" spans="1:19" x14ac:dyDescent="0.3">
      <c r="A22932" t="str">
        <f t="shared" si="21"/>
        <v>PIECEAll FFOct-24</v>
      </c>
      <c r="B22932" s="171" t="s">
        <v>45848</v>
      </c>
      <c r="C22932" s="171" t="s">
        <v>200</v>
      </c>
      <c r="D22932" s="171" t="s">
        <v>80</v>
      </c>
      <c r="E22932" s="11">
        <v>45566</v>
      </c>
      <c r="F22932">
        <v>6</v>
      </c>
      <c r="G22932">
        <v>5.5</v>
      </c>
      <c r="I22932">
        <v>7</v>
      </c>
      <c r="J22932">
        <v>29</v>
      </c>
      <c r="L22932">
        <v>27</v>
      </c>
      <c r="N22932">
        <v>7</v>
      </c>
      <c r="P22932">
        <v>0</v>
      </c>
      <c r="Q22932">
        <v>0</v>
      </c>
      <c r="S22932">
        <v>0</v>
      </c>
    </row>
    <row r="22933" spans="1:19" x14ac:dyDescent="0.3">
      <c r="A22933" t="str">
        <f t="shared" si="21"/>
        <v>PIECEAll DCSOct-24</v>
      </c>
      <c r="B22933" s="171" t="s">
        <v>45849</v>
      </c>
      <c r="C22933" s="171" t="s">
        <v>200</v>
      </c>
      <c r="D22933" s="171" t="s">
        <v>15341</v>
      </c>
      <c r="E22933" s="11">
        <v>45566</v>
      </c>
      <c r="F22933">
        <v>0</v>
      </c>
      <c r="G22933">
        <v>0</v>
      </c>
      <c r="I22933">
        <v>0</v>
      </c>
      <c r="J22933">
        <v>0</v>
      </c>
      <c r="L22933">
        <v>0</v>
      </c>
      <c r="N22933">
        <v>0</v>
      </c>
      <c r="P22933">
        <v>0</v>
      </c>
      <c r="Q22933">
        <v>0</v>
      </c>
      <c r="S22933">
        <v>0</v>
      </c>
    </row>
    <row r="22934" spans="1:19" x14ac:dyDescent="0.3">
      <c r="A22934" t="str">
        <f t="shared" si="21"/>
        <v>Adoptions TogetherAll CombinedOct-24</v>
      </c>
      <c r="B22934" s="171" t="s">
        <v>45850</v>
      </c>
      <c r="C22934" s="171" t="s">
        <v>73</v>
      </c>
      <c r="D22934" s="171" t="s">
        <v>4</v>
      </c>
      <c r="E22934" s="11">
        <v>45566</v>
      </c>
      <c r="F22934">
        <v>0</v>
      </c>
      <c r="G22934">
        <v>0</v>
      </c>
      <c r="I22934">
        <v>0</v>
      </c>
      <c r="J22934">
        <v>0</v>
      </c>
      <c r="L22934">
        <v>0</v>
      </c>
      <c r="N22934">
        <v>0</v>
      </c>
      <c r="P22934">
        <v>0</v>
      </c>
      <c r="Q22934">
        <v>0</v>
      </c>
      <c r="S22934">
        <v>0</v>
      </c>
    </row>
    <row r="22935" spans="1:19" x14ac:dyDescent="0.3">
      <c r="A22935" t="str">
        <f t="shared" si="21"/>
        <v>Better MorningsAll CombinedOct-24</v>
      </c>
      <c r="B22935" s="171" t="s">
        <v>45851</v>
      </c>
      <c r="C22935" s="171" t="s">
        <v>24891</v>
      </c>
      <c r="D22935" s="171" t="s">
        <v>4</v>
      </c>
      <c r="E22935" s="11">
        <v>45566</v>
      </c>
      <c r="F22935">
        <v>7</v>
      </c>
      <c r="G22935">
        <v>7</v>
      </c>
      <c r="I22935">
        <v>21</v>
      </c>
      <c r="J22935">
        <v>33</v>
      </c>
      <c r="L22935">
        <v>33</v>
      </c>
      <c r="N22935">
        <v>12</v>
      </c>
      <c r="P22935">
        <v>5</v>
      </c>
      <c r="Q22935">
        <v>5</v>
      </c>
      <c r="S22935">
        <v>9</v>
      </c>
    </row>
    <row r="22936" spans="1:19" x14ac:dyDescent="0.3">
      <c r="A22936" t="str">
        <f t="shared" si="21"/>
        <v>CatholicAll CombinedOct-24</v>
      </c>
      <c r="B22936" s="171" t="s">
        <v>45852</v>
      </c>
      <c r="C22936" s="171" t="s">
        <v>18229</v>
      </c>
      <c r="D22936" s="171" t="s">
        <v>4</v>
      </c>
      <c r="E22936" s="11">
        <v>45566</v>
      </c>
      <c r="F22936">
        <v>0</v>
      </c>
      <c r="G22936">
        <v>0</v>
      </c>
      <c r="I22936">
        <v>0</v>
      </c>
      <c r="J22936">
        <v>0</v>
      </c>
      <c r="L22936">
        <v>0</v>
      </c>
      <c r="N22936">
        <v>0</v>
      </c>
      <c r="P22936">
        <v>0</v>
      </c>
      <c r="Q22936">
        <v>0</v>
      </c>
      <c r="S22936">
        <v>0</v>
      </c>
    </row>
    <row r="22937" spans="1:19" x14ac:dyDescent="0.3">
      <c r="A22937" t="str">
        <f t="shared" si="21"/>
        <v>Community ConnectionsAll CombinedOct-24</v>
      </c>
      <c r="B22937" s="171" t="s">
        <v>45853</v>
      </c>
      <c r="C22937" s="171" t="s">
        <v>107</v>
      </c>
      <c r="D22937" s="171" t="s">
        <v>4</v>
      </c>
      <c r="E22937" s="11">
        <v>45566</v>
      </c>
      <c r="F22937">
        <v>0</v>
      </c>
      <c r="G22937">
        <v>0</v>
      </c>
      <c r="I22937">
        <v>0</v>
      </c>
      <c r="J22937">
        <v>0</v>
      </c>
      <c r="L22937">
        <v>0</v>
      </c>
      <c r="N22937">
        <v>0</v>
      </c>
      <c r="P22937">
        <v>0</v>
      </c>
      <c r="Q22937">
        <v>0</v>
      </c>
      <c r="S22937">
        <v>0</v>
      </c>
    </row>
    <row r="22938" spans="1:19" x14ac:dyDescent="0.3">
      <c r="A22938" t="str">
        <f t="shared" si="21"/>
        <v>ContemporaryAll CombinedOct-24</v>
      </c>
      <c r="B22938" s="171" t="s">
        <v>45854</v>
      </c>
      <c r="C22938" s="171" t="s">
        <v>9887</v>
      </c>
      <c r="D22938" s="171" t="s">
        <v>4</v>
      </c>
      <c r="E22938" s="11">
        <v>45566</v>
      </c>
      <c r="F22938">
        <v>0</v>
      </c>
      <c r="G22938">
        <v>0</v>
      </c>
      <c r="I22938">
        <v>0</v>
      </c>
      <c r="J22938">
        <v>0</v>
      </c>
      <c r="L22938">
        <v>0</v>
      </c>
      <c r="N22938">
        <v>0</v>
      </c>
      <c r="P22938">
        <v>0</v>
      </c>
      <c r="Q22938">
        <v>0</v>
      </c>
      <c r="S22938">
        <v>0</v>
      </c>
    </row>
    <row r="22939" spans="1:19" x14ac:dyDescent="0.3">
      <c r="A22939" t="str">
        <f t="shared" si="21"/>
        <v>DBH Family SupportAll CombinedOct-24</v>
      </c>
      <c r="B22939" s="171" t="s">
        <v>45855</v>
      </c>
      <c r="C22939" s="171" t="s">
        <v>35078</v>
      </c>
      <c r="D22939" s="171" t="s">
        <v>4</v>
      </c>
      <c r="E22939" s="11">
        <v>45566</v>
      </c>
      <c r="F22939">
        <v>0</v>
      </c>
      <c r="G22939">
        <v>0</v>
      </c>
      <c r="I22939">
        <v>0</v>
      </c>
      <c r="J22939">
        <v>0</v>
      </c>
      <c r="L22939">
        <v>0</v>
      </c>
      <c r="N22939">
        <v>0</v>
      </c>
      <c r="P22939">
        <v>0</v>
      </c>
      <c r="Q22939">
        <v>0</v>
      </c>
      <c r="S22939">
        <v>0</v>
      </c>
    </row>
    <row r="22940" spans="1:19" x14ac:dyDescent="0.3">
      <c r="A22940" t="str">
        <f t="shared" si="21"/>
        <v>Family MattersAll CombinedOct-24</v>
      </c>
      <c r="B22940" s="171" t="s">
        <v>45856</v>
      </c>
      <c r="C22940" s="171" t="s">
        <v>11260</v>
      </c>
      <c r="D22940" s="171" t="s">
        <v>4</v>
      </c>
      <c r="E22940" s="11">
        <v>45566</v>
      </c>
      <c r="F22940">
        <v>0</v>
      </c>
      <c r="G22940">
        <v>0</v>
      </c>
      <c r="I22940">
        <v>0</v>
      </c>
      <c r="J22940">
        <v>0</v>
      </c>
      <c r="L22940">
        <v>0</v>
      </c>
      <c r="N22940">
        <v>0</v>
      </c>
      <c r="P22940">
        <v>0</v>
      </c>
      <c r="Q22940">
        <v>0</v>
      </c>
      <c r="S22940">
        <v>0</v>
      </c>
    </row>
    <row r="22941" spans="1:19" x14ac:dyDescent="0.3">
      <c r="A22941" t="str">
        <f t="shared" si="21"/>
        <v>Federal CityAll CombinedOct-24</v>
      </c>
      <c r="B22941" s="171" t="s">
        <v>45857</v>
      </c>
      <c r="C22941" s="171" t="s">
        <v>122</v>
      </c>
      <c r="D22941" s="171" t="s">
        <v>4</v>
      </c>
      <c r="E22941" s="11">
        <v>45566</v>
      </c>
      <c r="F22941">
        <v>0</v>
      </c>
      <c r="G22941">
        <v>0</v>
      </c>
      <c r="I22941">
        <v>0</v>
      </c>
      <c r="J22941">
        <v>0</v>
      </c>
      <c r="L22941">
        <v>0</v>
      </c>
      <c r="N22941">
        <v>0</v>
      </c>
      <c r="P22941">
        <v>0</v>
      </c>
      <c r="Q22941">
        <v>0</v>
      </c>
      <c r="S22941">
        <v>0</v>
      </c>
    </row>
    <row r="22942" spans="1:19" x14ac:dyDescent="0.3">
      <c r="A22942" t="str">
        <f t="shared" si="21"/>
        <v>First Home CareAll CombinedOct-24</v>
      </c>
      <c r="B22942" s="171" t="s">
        <v>45858</v>
      </c>
      <c r="C22942" s="171" t="s">
        <v>125</v>
      </c>
      <c r="D22942" s="171" t="s">
        <v>4</v>
      </c>
      <c r="E22942" s="11">
        <v>45566</v>
      </c>
      <c r="F22942">
        <v>0</v>
      </c>
      <c r="G22942">
        <v>0</v>
      </c>
      <c r="I22942">
        <v>0</v>
      </c>
      <c r="J22942">
        <v>0</v>
      </c>
      <c r="L22942">
        <v>0</v>
      </c>
      <c r="N22942">
        <v>0</v>
      </c>
      <c r="P22942">
        <v>0</v>
      </c>
      <c r="Q22942">
        <v>0</v>
      </c>
      <c r="S22942">
        <v>0</v>
      </c>
    </row>
    <row r="22943" spans="1:19" x14ac:dyDescent="0.3">
      <c r="A22943" t="str">
        <f t="shared" si="21"/>
        <v>Foundations for Home &amp; CommunityAll CombinedOct-24</v>
      </c>
      <c r="B22943" s="171" t="s">
        <v>45859</v>
      </c>
      <c r="C22943" s="171" t="s">
        <v>14899</v>
      </c>
      <c r="D22943" s="171" t="s">
        <v>4</v>
      </c>
      <c r="E22943" s="11">
        <v>45566</v>
      </c>
      <c r="F22943">
        <v>0</v>
      </c>
      <c r="G22943">
        <v>0</v>
      </c>
      <c r="I22943">
        <v>0</v>
      </c>
      <c r="J22943">
        <v>0</v>
      </c>
      <c r="L22943">
        <v>0</v>
      </c>
      <c r="N22943">
        <v>0</v>
      </c>
      <c r="P22943">
        <v>0</v>
      </c>
      <c r="Q22943">
        <v>0</v>
      </c>
      <c r="S22943">
        <v>0</v>
      </c>
    </row>
    <row r="22944" spans="1:19" x14ac:dyDescent="0.3">
      <c r="A22944" t="str">
        <f t="shared" si="21"/>
        <v>FPSAll CombinedOct-24</v>
      </c>
      <c r="B22944" s="171" t="s">
        <v>45860</v>
      </c>
      <c r="C22944" s="171" t="s">
        <v>137</v>
      </c>
      <c r="D22944" s="171" t="s">
        <v>4</v>
      </c>
      <c r="E22944" s="11">
        <v>45566</v>
      </c>
      <c r="F22944">
        <v>0</v>
      </c>
      <c r="G22944">
        <v>0</v>
      </c>
      <c r="I22944">
        <v>0</v>
      </c>
      <c r="J22944">
        <v>0</v>
      </c>
      <c r="L22944">
        <v>0</v>
      </c>
      <c r="N22944">
        <v>0</v>
      </c>
      <c r="P22944">
        <v>0</v>
      </c>
      <c r="Q22944">
        <v>0</v>
      </c>
      <c r="S22944">
        <v>0</v>
      </c>
    </row>
    <row r="22945" spans="1:19" x14ac:dyDescent="0.3">
      <c r="A22945" t="str">
        <f t="shared" si="21"/>
        <v>Green DoorAll CombinedOct-24</v>
      </c>
      <c r="B22945" s="171" t="s">
        <v>45861</v>
      </c>
      <c r="C22945" s="171" t="s">
        <v>8615</v>
      </c>
      <c r="D22945" s="171" t="s">
        <v>4</v>
      </c>
      <c r="E22945" s="11">
        <v>45566</v>
      </c>
      <c r="F22945">
        <v>0</v>
      </c>
      <c r="G22945">
        <v>0</v>
      </c>
      <c r="I22945">
        <v>0</v>
      </c>
      <c r="J22945">
        <v>0</v>
      </c>
      <c r="L22945">
        <v>0</v>
      </c>
      <c r="N22945">
        <v>0</v>
      </c>
      <c r="P22945">
        <v>0</v>
      </c>
      <c r="Q22945">
        <v>0</v>
      </c>
      <c r="S22945">
        <v>0</v>
      </c>
    </row>
    <row r="22946" spans="1:19" x14ac:dyDescent="0.3">
      <c r="A22946" t="str">
        <f t="shared" si="21"/>
        <v>Healthy FuturesAll CombinedOct-24</v>
      </c>
      <c r="B22946" s="171" t="s">
        <v>45862</v>
      </c>
      <c r="C22946" s="171" t="s">
        <v>35025</v>
      </c>
      <c r="D22946" s="171" t="s">
        <v>4</v>
      </c>
      <c r="E22946" s="11">
        <v>45566</v>
      </c>
      <c r="F22946">
        <v>0</v>
      </c>
      <c r="G22946">
        <v>0</v>
      </c>
      <c r="I22946">
        <v>0</v>
      </c>
      <c r="J22946">
        <v>0</v>
      </c>
      <c r="L22946">
        <v>0</v>
      </c>
      <c r="N22946">
        <v>0</v>
      </c>
      <c r="P22946">
        <v>0</v>
      </c>
      <c r="Q22946">
        <v>0</v>
      </c>
      <c r="S22946">
        <v>0</v>
      </c>
    </row>
    <row r="22947" spans="1:19" x14ac:dyDescent="0.3">
      <c r="A22947" t="str">
        <f t="shared" si="21"/>
        <v>HillcrestAll CombinedOct-24</v>
      </c>
      <c r="B22947" s="171" t="s">
        <v>45863</v>
      </c>
      <c r="C22947" s="171" t="s">
        <v>146</v>
      </c>
      <c r="D22947" s="171" t="s">
        <v>4</v>
      </c>
      <c r="E22947" s="11">
        <v>45566</v>
      </c>
      <c r="F22947">
        <v>7.5</v>
      </c>
      <c r="G22947">
        <v>11.5</v>
      </c>
      <c r="I22947">
        <v>28</v>
      </c>
      <c r="J22947">
        <v>37</v>
      </c>
      <c r="L22947">
        <v>55</v>
      </c>
      <c r="N22947">
        <v>23</v>
      </c>
      <c r="P22947">
        <v>2</v>
      </c>
      <c r="Q22947">
        <v>4</v>
      </c>
      <c r="S22947">
        <v>5</v>
      </c>
    </row>
    <row r="22948" spans="1:19" x14ac:dyDescent="0.3">
      <c r="A22948" t="str">
        <f t="shared" si="21"/>
        <v>LAYCAll CombinedOct-24</v>
      </c>
      <c r="B22948" s="171" t="s">
        <v>45864</v>
      </c>
      <c r="C22948" s="171" t="s">
        <v>161</v>
      </c>
      <c r="D22948" s="171" t="s">
        <v>4</v>
      </c>
      <c r="E22948" s="11">
        <v>45566</v>
      </c>
      <c r="F22948">
        <v>2</v>
      </c>
      <c r="G22948">
        <v>3.5</v>
      </c>
      <c r="I22948">
        <v>6</v>
      </c>
      <c r="J22948">
        <v>12</v>
      </c>
      <c r="L22948">
        <v>21</v>
      </c>
      <c r="N22948">
        <v>3</v>
      </c>
      <c r="P22948">
        <v>0</v>
      </c>
      <c r="Q22948">
        <v>0</v>
      </c>
      <c r="S22948">
        <v>3</v>
      </c>
    </row>
    <row r="22949" spans="1:19" x14ac:dyDescent="0.3">
      <c r="A22949" t="str">
        <f t="shared" si="21"/>
        <v>LCSAll CombinedOct-24</v>
      </c>
      <c r="B22949" s="171" t="s">
        <v>45865</v>
      </c>
      <c r="C22949" s="171" t="s">
        <v>18252</v>
      </c>
      <c r="D22949" s="171" t="s">
        <v>4</v>
      </c>
      <c r="E22949" s="11">
        <v>45566</v>
      </c>
      <c r="F22949">
        <v>0</v>
      </c>
      <c r="G22949">
        <v>0</v>
      </c>
      <c r="I22949">
        <v>0</v>
      </c>
      <c r="J22949">
        <v>0</v>
      </c>
      <c r="L22949">
        <v>0</v>
      </c>
      <c r="N22949">
        <v>0</v>
      </c>
      <c r="P22949">
        <v>0</v>
      </c>
      <c r="Q22949">
        <v>0</v>
      </c>
      <c r="S22949">
        <v>0</v>
      </c>
    </row>
    <row r="22950" spans="1:19" x14ac:dyDescent="0.3">
      <c r="A22950" t="str">
        <f t="shared" si="21"/>
        <v>LESAll CombinedOct-24</v>
      </c>
      <c r="B22950" s="171" t="s">
        <v>45866</v>
      </c>
      <c r="C22950" s="171" t="s">
        <v>167</v>
      </c>
      <c r="D22950" s="171" t="s">
        <v>4</v>
      </c>
      <c r="E22950" s="11">
        <v>45566</v>
      </c>
      <c r="F22950">
        <v>2.5</v>
      </c>
      <c r="G22950">
        <v>2.5</v>
      </c>
      <c r="I22950">
        <v>12</v>
      </c>
      <c r="J22950">
        <v>35</v>
      </c>
      <c r="L22950">
        <v>35</v>
      </c>
      <c r="N22950">
        <v>12</v>
      </c>
      <c r="P22950">
        <v>0</v>
      </c>
      <c r="Q22950">
        <v>0</v>
      </c>
      <c r="S22950">
        <v>0</v>
      </c>
    </row>
    <row r="22951" spans="1:19" x14ac:dyDescent="0.3">
      <c r="A22951" t="str">
        <f t="shared" si="21"/>
        <v>Marys CenterAll CombinedOct-24</v>
      </c>
      <c r="B22951" s="171" t="s">
        <v>45867</v>
      </c>
      <c r="C22951" s="171" t="s">
        <v>173</v>
      </c>
      <c r="D22951" s="171" t="s">
        <v>4</v>
      </c>
      <c r="E22951" s="11">
        <v>45566</v>
      </c>
      <c r="F22951">
        <v>5</v>
      </c>
      <c r="G22951">
        <v>6.5</v>
      </c>
      <c r="I22951">
        <v>7</v>
      </c>
      <c r="J22951">
        <v>29</v>
      </c>
      <c r="L22951">
        <v>37</v>
      </c>
      <c r="N22951">
        <v>7</v>
      </c>
      <c r="P22951">
        <v>0</v>
      </c>
      <c r="Q22951">
        <v>0</v>
      </c>
      <c r="S22951">
        <v>0</v>
      </c>
    </row>
    <row r="22952" spans="1:19" x14ac:dyDescent="0.3">
      <c r="A22952" t="str">
        <f t="shared" si="21"/>
        <v>MBI HSAll CombinedOct-24</v>
      </c>
      <c r="B22952" s="171" t="s">
        <v>45868</v>
      </c>
      <c r="C22952" s="171" t="s">
        <v>179</v>
      </c>
      <c r="D22952" s="171" t="s">
        <v>4</v>
      </c>
      <c r="E22952" s="11">
        <v>45566</v>
      </c>
      <c r="F22952">
        <v>11</v>
      </c>
      <c r="G22952">
        <v>15</v>
      </c>
      <c r="I22952">
        <v>59</v>
      </c>
      <c r="J22952">
        <v>98</v>
      </c>
      <c r="L22952">
        <v>130</v>
      </c>
      <c r="N22952">
        <v>48</v>
      </c>
      <c r="P22952">
        <v>4</v>
      </c>
      <c r="Q22952">
        <v>5</v>
      </c>
      <c r="S22952">
        <v>11</v>
      </c>
    </row>
    <row r="22953" spans="1:19" x14ac:dyDescent="0.3">
      <c r="A22953" t="str">
        <f t="shared" si="21"/>
        <v>MD Family ResourcesAll CombinedOct-24</v>
      </c>
      <c r="B22953" s="171" t="s">
        <v>45869</v>
      </c>
      <c r="C22953" s="171" t="s">
        <v>185</v>
      </c>
      <c r="D22953" s="171" t="s">
        <v>4</v>
      </c>
      <c r="E22953" s="11">
        <v>45566</v>
      </c>
      <c r="F22953">
        <v>1.5</v>
      </c>
      <c r="G22953">
        <v>8.5</v>
      </c>
      <c r="I22953">
        <v>3</v>
      </c>
      <c r="J22953">
        <v>8</v>
      </c>
      <c r="L22953">
        <v>42</v>
      </c>
      <c r="N22953">
        <v>3</v>
      </c>
      <c r="P22953">
        <v>1</v>
      </c>
      <c r="Q22953">
        <v>1</v>
      </c>
      <c r="S22953">
        <v>0</v>
      </c>
    </row>
    <row r="22954" spans="1:19" x14ac:dyDescent="0.3">
      <c r="A22954" t="str">
        <f t="shared" si="21"/>
        <v>Medstar GeorgetownAll CombinedOct-24</v>
      </c>
      <c r="B22954" s="171" t="s">
        <v>45870</v>
      </c>
      <c r="C22954" s="171" t="s">
        <v>24508</v>
      </c>
      <c r="D22954" s="171" t="s">
        <v>4</v>
      </c>
      <c r="E22954" s="11">
        <v>45566</v>
      </c>
      <c r="F22954">
        <v>0</v>
      </c>
      <c r="G22954">
        <v>0</v>
      </c>
      <c r="I22954">
        <v>0</v>
      </c>
      <c r="J22954">
        <v>0</v>
      </c>
      <c r="L22954">
        <v>0</v>
      </c>
      <c r="N22954">
        <v>0</v>
      </c>
      <c r="P22954">
        <v>0</v>
      </c>
      <c r="Q22954">
        <v>0</v>
      </c>
      <c r="S22954">
        <v>0</v>
      </c>
    </row>
    <row r="22955" spans="1:19" x14ac:dyDescent="0.3">
      <c r="A22955" t="str">
        <f t="shared" si="21"/>
        <v>PASSAll CombinedOct-24</v>
      </c>
      <c r="B22955" s="171" t="s">
        <v>45871</v>
      </c>
      <c r="C22955" s="171" t="s">
        <v>191</v>
      </c>
      <c r="D22955" s="171" t="s">
        <v>4</v>
      </c>
      <c r="E22955" s="11">
        <v>45566</v>
      </c>
      <c r="F22955">
        <v>10</v>
      </c>
      <c r="G22955">
        <v>13</v>
      </c>
      <c r="I22955">
        <v>76</v>
      </c>
      <c r="J22955">
        <v>92</v>
      </c>
      <c r="L22955">
        <v>107</v>
      </c>
      <c r="N22955">
        <v>67</v>
      </c>
      <c r="P22955">
        <v>9</v>
      </c>
      <c r="Q22955">
        <v>12</v>
      </c>
      <c r="S22955">
        <v>9</v>
      </c>
    </row>
    <row r="22956" spans="1:19" x14ac:dyDescent="0.3">
      <c r="A22956" t="str">
        <f t="shared" si="21"/>
        <v>PIECEAll CombinedOct-24</v>
      </c>
      <c r="B22956" s="171" t="s">
        <v>45872</v>
      </c>
      <c r="C22956" s="171" t="s">
        <v>200</v>
      </c>
      <c r="D22956" s="171" t="s">
        <v>4</v>
      </c>
      <c r="E22956" s="11">
        <v>45566</v>
      </c>
      <c r="F22956">
        <v>6</v>
      </c>
      <c r="G22956">
        <v>5.5</v>
      </c>
      <c r="I22956">
        <v>7</v>
      </c>
      <c r="J22956">
        <v>29</v>
      </c>
      <c r="L22956">
        <v>27</v>
      </c>
      <c r="N22956">
        <v>7</v>
      </c>
      <c r="P22956">
        <v>0</v>
      </c>
      <c r="Q22956">
        <v>0</v>
      </c>
      <c r="S22956">
        <v>0</v>
      </c>
    </row>
    <row r="22957" spans="1:19" x14ac:dyDescent="0.3">
      <c r="A22957" t="str">
        <f t="shared" si="21"/>
        <v>RiversideAll CombinedOct-24</v>
      </c>
      <c r="B22957" s="171" t="s">
        <v>45873</v>
      </c>
      <c r="C22957" s="171" t="s">
        <v>212</v>
      </c>
      <c r="D22957" s="171" t="s">
        <v>4</v>
      </c>
      <c r="E22957" s="11">
        <v>45566</v>
      </c>
      <c r="F22957">
        <v>0</v>
      </c>
      <c r="G22957">
        <v>0</v>
      </c>
      <c r="I22957">
        <v>0</v>
      </c>
      <c r="J22957">
        <v>0</v>
      </c>
      <c r="L22957">
        <v>0</v>
      </c>
      <c r="N22957">
        <v>0</v>
      </c>
      <c r="P22957">
        <v>0</v>
      </c>
      <c r="Q22957">
        <v>0</v>
      </c>
      <c r="S22957">
        <v>0</v>
      </c>
    </row>
    <row r="22958" spans="1:19" x14ac:dyDescent="0.3">
      <c r="A22958" t="str">
        <f t="shared" si="21"/>
        <v>TFCCAll CombinedOct-24</v>
      </c>
      <c r="B22958" s="171" t="s">
        <v>45874</v>
      </c>
      <c r="C22958" s="171" t="s">
        <v>215</v>
      </c>
      <c r="D22958" s="171" t="s">
        <v>4</v>
      </c>
      <c r="E22958" s="11">
        <v>45566</v>
      </c>
      <c r="F22958">
        <v>0</v>
      </c>
      <c r="G22958">
        <v>0</v>
      </c>
      <c r="I22958">
        <v>0</v>
      </c>
      <c r="J22958">
        <v>0</v>
      </c>
      <c r="L22958">
        <v>0</v>
      </c>
      <c r="N22958">
        <v>0</v>
      </c>
      <c r="P22958">
        <v>0</v>
      </c>
      <c r="Q22958">
        <v>0</v>
      </c>
      <c r="S22958">
        <v>0</v>
      </c>
    </row>
    <row r="22959" spans="1:19" x14ac:dyDescent="0.3">
      <c r="A22959" t="str">
        <f t="shared" si="21"/>
        <v>UmbrellaAll CombinedOct-24</v>
      </c>
      <c r="B22959" s="171" t="s">
        <v>45875</v>
      </c>
      <c r="C22959" s="171" t="s">
        <v>35119</v>
      </c>
      <c r="D22959" s="171" t="s">
        <v>4</v>
      </c>
      <c r="E22959" s="11">
        <v>45566</v>
      </c>
      <c r="F22959">
        <v>6</v>
      </c>
      <c r="G22959">
        <v>6</v>
      </c>
      <c r="I22959">
        <v>33</v>
      </c>
      <c r="J22959">
        <v>66</v>
      </c>
      <c r="L22959">
        <v>66</v>
      </c>
      <c r="N22959">
        <v>33</v>
      </c>
      <c r="P22959">
        <v>0</v>
      </c>
      <c r="Q22959">
        <v>0</v>
      </c>
      <c r="S22959">
        <v>0</v>
      </c>
    </row>
    <row r="22960" spans="1:19" x14ac:dyDescent="0.3">
      <c r="A22960" t="str">
        <f t="shared" si="21"/>
        <v>UniversalAll CombinedOct-24</v>
      </c>
      <c r="B22960" s="171" t="s">
        <v>45876</v>
      </c>
      <c r="C22960" s="171" t="s">
        <v>221</v>
      </c>
      <c r="D22960" s="171" t="s">
        <v>4</v>
      </c>
      <c r="E22960" s="11">
        <v>45566</v>
      </c>
      <c r="F22960">
        <v>0</v>
      </c>
      <c r="G22960">
        <v>0</v>
      </c>
      <c r="I22960">
        <v>0</v>
      </c>
      <c r="J22960">
        <v>0</v>
      </c>
      <c r="L22960">
        <v>0</v>
      </c>
      <c r="N22960">
        <v>0</v>
      </c>
      <c r="P22960">
        <v>0</v>
      </c>
      <c r="Q22960">
        <v>0</v>
      </c>
      <c r="S22960">
        <v>0</v>
      </c>
    </row>
    <row r="22961" spans="1:19" x14ac:dyDescent="0.3">
      <c r="A22961" t="str">
        <f t="shared" si="21"/>
        <v>Wayne PlaceAll CombinedOct-24</v>
      </c>
      <c r="B22961" s="171" t="s">
        <v>45877</v>
      </c>
      <c r="C22961" s="171" t="s">
        <v>8233</v>
      </c>
      <c r="D22961" s="171" t="s">
        <v>4</v>
      </c>
      <c r="E22961" s="11">
        <v>45566</v>
      </c>
      <c r="F22961">
        <v>2</v>
      </c>
      <c r="G22961">
        <v>3</v>
      </c>
      <c r="I22961">
        <v>10</v>
      </c>
      <c r="J22961">
        <v>22</v>
      </c>
      <c r="L22961">
        <v>33</v>
      </c>
      <c r="N22961">
        <v>10</v>
      </c>
      <c r="P22961">
        <v>5</v>
      </c>
      <c r="Q22961">
        <v>6</v>
      </c>
      <c r="S22961">
        <v>0</v>
      </c>
    </row>
    <row r="22962" spans="1:19" x14ac:dyDescent="0.3">
      <c r="A22962" t="str">
        <f t="shared" si="21"/>
        <v>Youth VillagesAll CombinedOct-24</v>
      </c>
      <c r="B22962" s="171" t="s">
        <v>45878</v>
      </c>
      <c r="C22962" s="171" t="s">
        <v>233</v>
      </c>
      <c r="D22962" s="171" t="s">
        <v>4</v>
      </c>
      <c r="E22962" s="11">
        <v>45566</v>
      </c>
      <c r="F22962">
        <v>0</v>
      </c>
      <c r="G22962">
        <v>0</v>
      </c>
      <c r="I22962">
        <v>0</v>
      </c>
      <c r="J22962">
        <v>0</v>
      </c>
      <c r="L22962">
        <v>0</v>
      </c>
      <c r="N22962">
        <v>0</v>
      </c>
      <c r="P22962">
        <v>0</v>
      </c>
      <c r="Q22962">
        <v>0</v>
      </c>
      <c r="S22962">
        <v>0</v>
      </c>
    </row>
    <row r="22963" spans="1:19" x14ac:dyDescent="0.3">
      <c r="A22963" t="str">
        <f t="shared" ref="A22963:A22996" si="22">C22963&amp;" "&amp;D22963&amp;"Oct-24"</f>
        <v>All ABC ProvidersABC FFOct-24</v>
      </c>
      <c r="B22963" s="171" t="s">
        <v>45879</v>
      </c>
      <c r="C22963" s="171" t="s">
        <v>35128</v>
      </c>
      <c r="D22963" s="171" t="s">
        <v>80</v>
      </c>
      <c r="E22963" s="11">
        <v>45566</v>
      </c>
      <c r="F22963">
        <v>0</v>
      </c>
      <c r="G22963">
        <v>0</v>
      </c>
      <c r="I22963">
        <v>0</v>
      </c>
      <c r="J22963">
        <v>0</v>
      </c>
      <c r="L22963">
        <v>0</v>
      </c>
      <c r="N22963">
        <v>0</v>
      </c>
      <c r="P22963">
        <v>0</v>
      </c>
      <c r="Q22963">
        <v>0</v>
      </c>
      <c r="S22963">
        <v>0</v>
      </c>
    </row>
    <row r="22964" spans="1:19" x14ac:dyDescent="0.3">
      <c r="A22964" t="str">
        <f t="shared" si="22"/>
        <v>All ABC ProvidersABC CombinedOct-24</v>
      </c>
      <c r="B22964" s="171" t="s">
        <v>45880</v>
      </c>
      <c r="C22964" s="171" t="s">
        <v>35128</v>
      </c>
      <c r="D22964" s="171" t="s">
        <v>4</v>
      </c>
      <c r="E22964" s="11">
        <v>45566</v>
      </c>
      <c r="F22964">
        <v>0</v>
      </c>
      <c r="G22964">
        <v>0</v>
      </c>
      <c r="I22964">
        <v>0</v>
      </c>
      <c r="J22964">
        <v>0</v>
      </c>
      <c r="L22964">
        <v>0</v>
      </c>
      <c r="N22964">
        <v>0</v>
      </c>
      <c r="P22964">
        <v>0</v>
      </c>
      <c r="Q22964">
        <v>0</v>
      </c>
      <c r="S22964">
        <v>0</v>
      </c>
    </row>
    <row r="22965" spans="1:19" x14ac:dyDescent="0.3">
      <c r="A22965" t="str">
        <f t="shared" si="22"/>
        <v>All A-CRA ProvidersA-CRA FFOct-24</v>
      </c>
      <c r="B22965" s="171" t="s">
        <v>45881</v>
      </c>
      <c r="C22965" s="171" t="s">
        <v>79</v>
      </c>
      <c r="D22965" s="171" t="s">
        <v>80</v>
      </c>
      <c r="E22965" s="11">
        <v>45566</v>
      </c>
      <c r="F22965">
        <v>0</v>
      </c>
      <c r="G22965">
        <v>0</v>
      </c>
      <c r="I22965">
        <v>0</v>
      </c>
      <c r="J22965">
        <v>0</v>
      </c>
      <c r="L22965">
        <v>0</v>
      </c>
      <c r="N22965">
        <v>0</v>
      </c>
      <c r="P22965">
        <v>0</v>
      </c>
      <c r="Q22965">
        <v>0</v>
      </c>
      <c r="S22965">
        <v>0</v>
      </c>
    </row>
    <row r="22966" spans="1:19" x14ac:dyDescent="0.3">
      <c r="A22966" t="str">
        <f t="shared" si="22"/>
        <v>All A-CRA ProvidersA-CRA CombinedOct-24</v>
      </c>
      <c r="B22966" s="171" t="s">
        <v>45882</v>
      </c>
      <c r="C22966" s="171" t="s">
        <v>79</v>
      </c>
      <c r="D22966" s="171" t="s">
        <v>4</v>
      </c>
      <c r="E22966" s="11">
        <v>45566</v>
      </c>
      <c r="F22966">
        <v>0</v>
      </c>
      <c r="G22966">
        <v>0</v>
      </c>
      <c r="I22966">
        <v>0</v>
      </c>
      <c r="J22966">
        <v>0</v>
      </c>
      <c r="L22966">
        <v>0</v>
      </c>
      <c r="N22966">
        <v>0</v>
      </c>
      <c r="P22966">
        <v>0</v>
      </c>
      <c r="Q22966">
        <v>0</v>
      </c>
      <c r="S22966">
        <v>0</v>
      </c>
    </row>
    <row r="22967" spans="1:19" x14ac:dyDescent="0.3">
      <c r="A22967" t="str">
        <f t="shared" si="22"/>
        <v>All CPP-FV ProvidersCPP-FV FFOct-24</v>
      </c>
      <c r="B22967" s="171" t="s">
        <v>45883</v>
      </c>
      <c r="C22967" s="171" t="s">
        <v>83</v>
      </c>
      <c r="D22967" s="171" t="s">
        <v>80</v>
      </c>
      <c r="E22967" s="11">
        <v>45566</v>
      </c>
      <c r="F22967">
        <v>4.5</v>
      </c>
      <c r="G22967">
        <v>5</v>
      </c>
      <c r="I22967">
        <v>8</v>
      </c>
      <c r="J22967">
        <v>24</v>
      </c>
      <c r="L22967">
        <v>28</v>
      </c>
      <c r="N22967">
        <v>8</v>
      </c>
      <c r="P22967">
        <v>0</v>
      </c>
      <c r="Q22967">
        <v>0</v>
      </c>
      <c r="S22967">
        <v>0</v>
      </c>
    </row>
    <row r="22968" spans="1:19" x14ac:dyDescent="0.3">
      <c r="A22968" t="str">
        <f t="shared" si="22"/>
        <v>All CPP-FV ProvidersCPP-FV DCSOct-24</v>
      </c>
      <c r="B22968" s="171" t="s">
        <v>45884</v>
      </c>
      <c r="C22968" s="171" t="s">
        <v>83</v>
      </c>
      <c r="D22968" s="171" t="s">
        <v>15341</v>
      </c>
      <c r="E22968" s="11">
        <v>45566</v>
      </c>
      <c r="F22968">
        <v>0</v>
      </c>
      <c r="G22968">
        <v>0</v>
      </c>
      <c r="I22968">
        <v>0</v>
      </c>
      <c r="J22968">
        <v>0</v>
      </c>
      <c r="L22968">
        <v>0</v>
      </c>
      <c r="N22968">
        <v>0</v>
      </c>
      <c r="P22968">
        <v>0</v>
      </c>
      <c r="Q22968">
        <v>0</v>
      </c>
      <c r="S22968">
        <v>0</v>
      </c>
    </row>
    <row r="22969" spans="1:19" x14ac:dyDescent="0.3">
      <c r="A22969" t="str">
        <f t="shared" si="22"/>
        <v>All CPP-FV ProvidersCPP-FV CombinedOct-24</v>
      </c>
      <c r="B22969" s="171" t="s">
        <v>45885</v>
      </c>
      <c r="C22969" s="171" t="s">
        <v>83</v>
      </c>
      <c r="D22969" s="171" t="s">
        <v>4</v>
      </c>
      <c r="E22969" s="11">
        <v>45566</v>
      </c>
      <c r="F22969">
        <v>4.5</v>
      </c>
      <c r="G22969">
        <v>5</v>
      </c>
      <c r="I22969">
        <v>8</v>
      </c>
      <c r="J22969">
        <v>24</v>
      </c>
      <c r="L22969">
        <v>28</v>
      </c>
      <c r="N22969">
        <v>8</v>
      </c>
      <c r="P22969">
        <v>0</v>
      </c>
      <c r="Q22969">
        <v>0</v>
      </c>
      <c r="S22969">
        <v>0</v>
      </c>
    </row>
    <row r="22970" spans="1:19" x14ac:dyDescent="0.3">
      <c r="A22970" t="str">
        <f t="shared" si="22"/>
        <v>All FFT ProvidersFFT FFOct-24</v>
      </c>
      <c r="B22970" s="171" t="s">
        <v>45886</v>
      </c>
      <c r="C22970" s="171" t="s">
        <v>86</v>
      </c>
      <c r="D22970" s="171" t="s">
        <v>80</v>
      </c>
      <c r="E22970" s="11">
        <v>45566</v>
      </c>
      <c r="F22970">
        <v>5</v>
      </c>
      <c r="G22970">
        <v>8</v>
      </c>
      <c r="I22970">
        <v>20</v>
      </c>
      <c r="J22970">
        <v>29</v>
      </c>
      <c r="L22970">
        <v>44</v>
      </c>
      <c r="N22970">
        <v>13</v>
      </c>
      <c r="P22970">
        <v>0</v>
      </c>
      <c r="Q22970">
        <v>0</v>
      </c>
      <c r="S22970">
        <v>7</v>
      </c>
    </row>
    <row r="22971" spans="1:19" x14ac:dyDescent="0.3">
      <c r="A22971" t="str">
        <f t="shared" si="22"/>
        <v>All FFT ProvidersFFT CombinedOct-24</v>
      </c>
      <c r="B22971" s="171" t="s">
        <v>45887</v>
      </c>
      <c r="C22971" s="171" t="s">
        <v>86</v>
      </c>
      <c r="D22971" s="171" t="s">
        <v>4</v>
      </c>
      <c r="E22971" s="11">
        <v>45566</v>
      </c>
      <c r="F22971">
        <v>5</v>
      </c>
      <c r="G22971">
        <v>8</v>
      </c>
      <c r="I22971">
        <v>20</v>
      </c>
      <c r="J22971">
        <v>29</v>
      </c>
      <c r="L22971">
        <v>44</v>
      </c>
      <c r="N22971">
        <v>13</v>
      </c>
      <c r="P22971">
        <v>0</v>
      </c>
      <c r="Q22971">
        <v>0</v>
      </c>
      <c r="S22971">
        <v>7</v>
      </c>
    </row>
    <row r="22972" spans="1:19" x14ac:dyDescent="0.3">
      <c r="A22972" t="str">
        <f t="shared" si="22"/>
        <v>All IHCBS ProvidersIHCBS FFOct-24</v>
      </c>
      <c r="B22972" s="171" t="s">
        <v>45888</v>
      </c>
      <c r="C22972" s="171" t="s">
        <v>40284</v>
      </c>
      <c r="D22972" s="171" t="s">
        <v>80</v>
      </c>
      <c r="E22972" s="11">
        <v>45566</v>
      </c>
      <c r="F22972">
        <v>9</v>
      </c>
      <c r="G22972">
        <v>14</v>
      </c>
      <c r="I22972">
        <v>35</v>
      </c>
      <c r="J22972">
        <v>36</v>
      </c>
      <c r="L22972">
        <v>56</v>
      </c>
      <c r="N22972">
        <v>25</v>
      </c>
      <c r="P22972">
        <v>7</v>
      </c>
      <c r="Q22972">
        <v>10</v>
      </c>
      <c r="S22972">
        <v>10</v>
      </c>
    </row>
    <row r="22973" spans="1:19" x14ac:dyDescent="0.3">
      <c r="A22973" t="str">
        <f t="shared" si="22"/>
        <v>All IHCBS ProvidersIHCBS CombinedOct-24</v>
      </c>
      <c r="B22973" s="171" t="s">
        <v>45889</v>
      </c>
      <c r="C22973" s="171" t="s">
        <v>40284</v>
      </c>
      <c r="D22973" s="171" t="s">
        <v>4</v>
      </c>
      <c r="E22973" s="11">
        <v>45566</v>
      </c>
      <c r="F22973">
        <v>9</v>
      </c>
      <c r="G22973">
        <v>14</v>
      </c>
      <c r="I22973">
        <v>35</v>
      </c>
      <c r="J22973">
        <v>36</v>
      </c>
      <c r="L22973">
        <v>56</v>
      </c>
      <c r="N22973">
        <v>25</v>
      </c>
      <c r="P22973">
        <v>7</v>
      </c>
      <c r="Q22973">
        <v>10</v>
      </c>
      <c r="S22973">
        <v>10</v>
      </c>
    </row>
    <row r="22974" spans="1:19" x14ac:dyDescent="0.3">
      <c r="A22974" t="str">
        <f t="shared" si="22"/>
        <v>All MST ProvidersMST FFOct-24</v>
      </c>
      <c r="B22974" s="171" t="s">
        <v>45890</v>
      </c>
      <c r="C22974" s="171" t="s">
        <v>89</v>
      </c>
      <c r="D22974" s="171" t="s">
        <v>80</v>
      </c>
      <c r="E22974" s="11">
        <v>45566</v>
      </c>
      <c r="F22974">
        <v>2</v>
      </c>
      <c r="G22974">
        <v>4</v>
      </c>
      <c r="I22974">
        <v>10</v>
      </c>
      <c r="J22974">
        <v>10</v>
      </c>
      <c r="L22974">
        <v>20</v>
      </c>
      <c r="N22974">
        <v>9</v>
      </c>
      <c r="P22974">
        <v>1</v>
      </c>
      <c r="Q22974">
        <v>1</v>
      </c>
      <c r="S22974">
        <v>1</v>
      </c>
    </row>
    <row r="22975" spans="1:19" x14ac:dyDescent="0.3">
      <c r="A22975" t="str">
        <f t="shared" si="22"/>
        <v>All MST ProvidersMST CombinedOct-24</v>
      </c>
      <c r="B22975" s="171" t="s">
        <v>45891</v>
      </c>
      <c r="C22975" s="171" t="s">
        <v>89</v>
      </c>
      <c r="D22975" s="171" t="s">
        <v>4</v>
      </c>
      <c r="E22975" s="11">
        <v>45566</v>
      </c>
      <c r="F22975">
        <v>2</v>
      </c>
      <c r="G22975">
        <v>4</v>
      </c>
      <c r="I22975">
        <v>10</v>
      </c>
      <c r="J22975">
        <v>10</v>
      </c>
      <c r="L22975">
        <v>20</v>
      </c>
      <c r="N22975">
        <v>9</v>
      </c>
      <c r="P22975">
        <v>1</v>
      </c>
      <c r="Q22975">
        <v>1</v>
      </c>
      <c r="S22975">
        <v>1</v>
      </c>
    </row>
    <row r="22976" spans="1:19" x14ac:dyDescent="0.3">
      <c r="A22976" t="str">
        <f t="shared" si="22"/>
        <v>All MST-PSB ProvidersMST-PSB FFOct-24</v>
      </c>
      <c r="B22976" s="171" t="s">
        <v>45892</v>
      </c>
      <c r="C22976" s="171" t="s">
        <v>92</v>
      </c>
      <c r="D22976" s="171" t="s">
        <v>80</v>
      </c>
      <c r="E22976" s="11">
        <v>45566</v>
      </c>
      <c r="F22976">
        <v>0</v>
      </c>
      <c r="G22976">
        <v>0</v>
      </c>
      <c r="I22976">
        <v>0</v>
      </c>
      <c r="J22976">
        <v>0</v>
      </c>
      <c r="L22976">
        <v>0</v>
      </c>
      <c r="N22976">
        <v>0</v>
      </c>
      <c r="P22976">
        <v>0</v>
      </c>
      <c r="Q22976">
        <v>0</v>
      </c>
      <c r="S22976">
        <v>0</v>
      </c>
    </row>
    <row r="22977" spans="1:19" x14ac:dyDescent="0.3">
      <c r="A22977" t="str">
        <f t="shared" si="22"/>
        <v>All MST-PSB ProvidersMST-PSB CombinedOct-24</v>
      </c>
      <c r="B22977" s="171" t="s">
        <v>45893</v>
      </c>
      <c r="C22977" s="171" t="s">
        <v>92</v>
      </c>
      <c r="D22977" s="171" t="s">
        <v>4</v>
      </c>
      <c r="E22977" s="11">
        <v>45566</v>
      </c>
      <c r="F22977">
        <v>0</v>
      </c>
      <c r="G22977">
        <v>0</v>
      </c>
      <c r="I22977">
        <v>0</v>
      </c>
      <c r="J22977">
        <v>0</v>
      </c>
      <c r="L22977">
        <v>0</v>
      </c>
      <c r="N22977">
        <v>0</v>
      </c>
      <c r="P22977">
        <v>0</v>
      </c>
      <c r="Q22977">
        <v>0</v>
      </c>
      <c r="S22977">
        <v>0</v>
      </c>
    </row>
    <row r="22978" spans="1:19" x14ac:dyDescent="0.3">
      <c r="A22978" t="str">
        <f t="shared" si="22"/>
        <v>All PCIT ProvidersPCIT FFOct-24</v>
      </c>
      <c r="B22978" s="171" t="s">
        <v>45894</v>
      </c>
      <c r="C22978" s="171" t="s">
        <v>95</v>
      </c>
      <c r="D22978" s="171" t="s">
        <v>80</v>
      </c>
      <c r="E22978" s="11">
        <v>45566</v>
      </c>
      <c r="F22978">
        <v>3.5</v>
      </c>
      <c r="G22978">
        <v>3.5</v>
      </c>
      <c r="I22978">
        <v>3</v>
      </c>
      <c r="J22978">
        <v>18</v>
      </c>
      <c r="L22978">
        <v>18</v>
      </c>
      <c r="N22978">
        <v>3</v>
      </c>
      <c r="P22978">
        <v>0</v>
      </c>
      <c r="Q22978">
        <v>0</v>
      </c>
      <c r="S22978">
        <v>0</v>
      </c>
    </row>
    <row r="22979" spans="1:19" x14ac:dyDescent="0.3">
      <c r="A22979" t="str">
        <f t="shared" si="22"/>
        <v>All PCIT ProvidersPCIT DCSOct-24</v>
      </c>
      <c r="B22979" s="171" t="s">
        <v>45895</v>
      </c>
      <c r="C22979" s="171" t="s">
        <v>95</v>
      </c>
      <c r="D22979" s="171" t="s">
        <v>15341</v>
      </c>
      <c r="E22979" s="11">
        <v>45566</v>
      </c>
      <c r="F22979">
        <v>0</v>
      </c>
      <c r="G22979">
        <v>0</v>
      </c>
      <c r="I22979">
        <v>0</v>
      </c>
      <c r="J22979">
        <v>0</v>
      </c>
      <c r="L22979">
        <v>0</v>
      </c>
      <c r="N22979">
        <v>0</v>
      </c>
      <c r="P22979">
        <v>0</v>
      </c>
      <c r="Q22979">
        <v>0</v>
      </c>
      <c r="S22979">
        <v>0</v>
      </c>
    </row>
    <row r="22980" spans="1:19" x14ac:dyDescent="0.3">
      <c r="A22980" t="str">
        <f t="shared" si="22"/>
        <v>All PCIT ProvidersPCIT CombinedOct-24</v>
      </c>
      <c r="B22980" s="171" t="s">
        <v>45896</v>
      </c>
      <c r="C22980" s="171" t="s">
        <v>95</v>
      </c>
      <c r="D22980" s="171" t="s">
        <v>4</v>
      </c>
      <c r="E22980" s="11">
        <v>45566</v>
      </c>
      <c r="F22980">
        <v>3.5</v>
      </c>
      <c r="G22980">
        <v>3.5</v>
      </c>
      <c r="I22980">
        <v>3</v>
      </c>
      <c r="J22980">
        <v>18</v>
      </c>
      <c r="L22980">
        <v>18</v>
      </c>
      <c r="N22980">
        <v>3</v>
      </c>
      <c r="P22980">
        <v>0</v>
      </c>
      <c r="Q22980">
        <v>0</v>
      </c>
      <c r="S22980">
        <v>0</v>
      </c>
    </row>
    <row r="22981" spans="1:19" x14ac:dyDescent="0.3">
      <c r="A22981" t="str">
        <f t="shared" si="22"/>
        <v>All PCIT-T ProvidersPCIT-T FFOct-24</v>
      </c>
      <c r="B22981" s="171" t="s">
        <v>45897</v>
      </c>
      <c r="C22981" s="171" t="s">
        <v>35161</v>
      </c>
      <c r="D22981" s="171" t="s">
        <v>80</v>
      </c>
      <c r="E22981" s="11">
        <v>45566</v>
      </c>
      <c r="F22981">
        <v>3</v>
      </c>
      <c r="G22981">
        <v>3.5</v>
      </c>
      <c r="I22981">
        <v>3</v>
      </c>
      <c r="J22981">
        <v>16</v>
      </c>
      <c r="L22981">
        <v>18</v>
      </c>
      <c r="N22981">
        <v>3</v>
      </c>
      <c r="P22981">
        <v>0</v>
      </c>
      <c r="Q22981">
        <v>0</v>
      </c>
      <c r="S22981">
        <v>0</v>
      </c>
    </row>
    <row r="22982" spans="1:19" x14ac:dyDescent="0.3">
      <c r="A22982" t="str">
        <f t="shared" si="22"/>
        <v>All PCIT-T ProvidersPCIT-T CombinedOct-24</v>
      </c>
      <c r="B22982" s="171" t="s">
        <v>45898</v>
      </c>
      <c r="C22982" s="171" t="s">
        <v>35161</v>
      </c>
      <c r="D22982" s="171" t="s">
        <v>4</v>
      </c>
      <c r="E22982" s="11">
        <v>45566</v>
      </c>
      <c r="F22982">
        <v>3</v>
      </c>
      <c r="G22982">
        <v>3.5</v>
      </c>
      <c r="I22982">
        <v>3</v>
      </c>
      <c r="J22982">
        <v>16</v>
      </c>
      <c r="L22982">
        <v>18</v>
      </c>
      <c r="N22982">
        <v>3</v>
      </c>
      <c r="P22982">
        <v>0</v>
      </c>
      <c r="Q22982">
        <v>0</v>
      </c>
      <c r="S22982">
        <v>0</v>
      </c>
    </row>
    <row r="22983" spans="1:19" x14ac:dyDescent="0.3">
      <c r="A22983" t="str">
        <f t="shared" si="22"/>
        <v>All SFCR ProvidersSFCR FFOct-24</v>
      </c>
      <c r="B22983" s="171" t="s">
        <v>45899</v>
      </c>
      <c r="C22983" s="171" t="s">
        <v>19659</v>
      </c>
      <c r="D22983" s="171" t="s">
        <v>80</v>
      </c>
      <c r="E22983" s="11">
        <v>45566</v>
      </c>
      <c r="F22983">
        <v>0</v>
      </c>
      <c r="G22983">
        <v>0</v>
      </c>
      <c r="I22983">
        <v>0</v>
      </c>
      <c r="J22983">
        <v>0</v>
      </c>
      <c r="L22983">
        <v>0</v>
      </c>
      <c r="N22983">
        <v>0</v>
      </c>
      <c r="P22983">
        <v>0</v>
      </c>
      <c r="Q22983">
        <v>0</v>
      </c>
      <c r="S22983">
        <v>0</v>
      </c>
    </row>
    <row r="22984" spans="1:19" x14ac:dyDescent="0.3">
      <c r="A22984" t="str">
        <f t="shared" si="22"/>
        <v>All SFCR ProvidersSFCR CombinedOct-24</v>
      </c>
      <c r="B22984" s="171" t="s">
        <v>45900</v>
      </c>
      <c r="C22984" s="171" t="s">
        <v>19659</v>
      </c>
      <c r="D22984" s="171" t="s">
        <v>4</v>
      </c>
      <c r="E22984" s="11">
        <v>45566</v>
      </c>
      <c r="F22984">
        <v>0</v>
      </c>
      <c r="G22984">
        <v>0</v>
      </c>
      <c r="I22984">
        <v>0</v>
      </c>
      <c r="J22984">
        <v>0</v>
      </c>
      <c r="L22984">
        <v>0</v>
      </c>
      <c r="N22984">
        <v>0</v>
      </c>
      <c r="P22984">
        <v>0</v>
      </c>
      <c r="Q22984">
        <v>0</v>
      </c>
      <c r="S22984">
        <v>0</v>
      </c>
    </row>
    <row r="22985" spans="1:19" x14ac:dyDescent="0.3">
      <c r="A22985" t="str">
        <f t="shared" si="22"/>
        <v>All TF-CBT ProvidersTF-CBT FFOct-24</v>
      </c>
      <c r="B22985" s="171" t="s">
        <v>45901</v>
      </c>
      <c r="C22985" s="171" t="s">
        <v>98</v>
      </c>
      <c r="D22985" s="171" t="s">
        <v>80</v>
      </c>
      <c r="E22985" s="11">
        <v>45566</v>
      </c>
      <c r="F22985">
        <v>7</v>
      </c>
      <c r="G22985">
        <v>13</v>
      </c>
      <c r="I22985">
        <v>15</v>
      </c>
      <c r="J22985">
        <v>40</v>
      </c>
      <c r="L22985">
        <v>72</v>
      </c>
      <c r="N22985">
        <v>10</v>
      </c>
      <c r="P22985">
        <v>2</v>
      </c>
      <c r="Q22985">
        <v>2</v>
      </c>
      <c r="S22985">
        <v>5</v>
      </c>
    </row>
    <row r="22986" spans="1:19" x14ac:dyDescent="0.3">
      <c r="A22986" t="str">
        <f t="shared" si="22"/>
        <v>All TF-CBT ProvidersTF-CBT CombinedOct-24</v>
      </c>
      <c r="B22986" s="171" t="s">
        <v>45902</v>
      </c>
      <c r="C22986" s="171" t="s">
        <v>98</v>
      </c>
      <c r="D22986" s="171" t="s">
        <v>4</v>
      </c>
      <c r="E22986" s="11">
        <v>45566</v>
      </c>
      <c r="F22986">
        <v>7</v>
      </c>
      <c r="G22986">
        <v>13</v>
      </c>
      <c r="I22986">
        <v>15</v>
      </c>
      <c r="J22986">
        <v>40</v>
      </c>
      <c r="L22986">
        <v>72</v>
      </c>
      <c r="N22986">
        <v>10</v>
      </c>
      <c r="P22986">
        <v>2</v>
      </c>
      <c r="Q22986">
        <v>2</v>
      </c>
      <c r="S22986">
        <v>5</v>
      </c>
    </row>
    <row r="22987" spans="1:19" x14ac:dyDescent="0.3">
      <c r="A22987" t="str">
        <f t="shared" si="22"/>
        <v>All TIP ProvidersTIP FFOct-24</v>
      </c>
      <c r="B22987" s="171" t="s">
        <v>45903</v>
      </c>
      <c r="C22987" s="171" t="s">
        <v>101</v>
      </c>
      <c r="D22987" s="171" t="s">
        <v>80</v>
      </c>
      <c r="E22987" s="11">
        <v>45566</v>
      </c>
      <c r="F22987">
        <v>25.5</v>
      </c>
      <c r="G22987">
        <v>28.5</v>
      </c>
      <c r="I22987">
        <v>162</v>
      </c>
      <c r="J22987">
        <v>283</v>
      </c>
      <c r="L22987">
        <v>316</v>
      </c>
      <c r="N22987">
        <v>148</v>
      </c>
      <c r="P22987">
        <v>16</v>
      </c>
      <c r="Q22987">
        <v>20</v>
      </c>
      <c r="S22987">
        <v>14</v>
      </c>
    </row>
    <row r="22988" spans="1:19" x14ac:dyDescent="0.3">
      <c r="A22988" t="str">
        <f t="shared" si="22"/>
        <v>All TIP ProvidersTIP CombinedOct-24</v>
      </c>
      <c r="B22988" s="171" t="s">
        <v>45904</v>
      </c>
      <c r="C22988" s="171" t="s">
        <v>101</v>
      </c>
      <c r="D22988" s="171" t="s">
        <v>4</v>
      </c>
      <c r="E22988" s="11">
        <v>45566</v>
      </c>
      <c r="F22988">
        <v>25.5</v>
      </c>
      <c r="G22988">
        <v>28.5</v>
      </c>
      <c r="I22988">
        <v>162</v>
      </c>
      <c r="J22988">
        <v>283</v>
      </c>
      <c r="L22988">
        <v>316</v>
      </c>
      <c r="N22988">
        <v>148</v>
      </c>
      <c r="P22988">
        <v>16</v>
      </c>
      <c r="Q22988">
        <v>20</v>
      </c>
      <c r="S22988">
        <v>14</v>
      </c>
    </row>
    <row r="22989" spans="1:19" x14ac:dyDescent="0.3">
      <c r="A22989" t="str">
        <f t="shared" si="22"/>
        <v>All TST ProvidersTST FFOct-24</v>
      </c>
      <c r="B22989" s="171" t="s">
        <v>45905</v>
      </c>
      <c r="C22989" s="171" t="s">
        <v>6843</v>
      </c>
      <c r="D22989" s="171" t="s">
        <v>80</v>
      </c>
      <c r="E22989" s="11">
        <v>45566</v>
      </c>
      <c r="F22989">
        <v>1</v>
      </c>
      <c r="G22989">
        <v>2.5</v>
      </c>
      <c r="I22989">
        <v>6</v>
      </c>
      <c r="J22989">
        <v>5</v>
      </c>
      <c r="L22989">
        <v>14</v>
      </c>
      <c r="N22989">
        <v>6</v>
      </c>
      <c r="P22989">
        <v>0</v>
      </c>
      <c r="Q22989">
        <v>0</v>
      </c>
      <c r="S22989">
        <v>0</v>
      </c>
    </row>
    <row r="22990" spans="1:19" x14ac:dyDescent="0.3">
      <c r="A22990" t="str">
        <f t="shared" si="22"/>
        <v>All TST ProvidersTST CombinedOct-24</v>
      </c>
      <c r="B22990" s="171" t="s">
        <v>45906</v>
      </c>
      <c r="C22990" s="171" t="s">
        <v>6843</v>
      </c>
      <c r="D22990" s="171" t="s">
        <v>4</v>
      </c>
      <c r="E22990" s="11">
        <v>45566</v>
      </c>
      <c r="F22990">
        <v>1</v>
      </c>
      <c r="G22990">
        <v>2.5</v>
      </c>
      <c r="I22990">
        <v>6</v>
      </c>
      <c r="J22990">
        <v>5</v>
      </c>
      <c r="L22990">
        <v>14</v>
      </c>
      <c r="N22990">
        <v>6</v>
      </c>
      <c r="P22990">
        <v>0</v>
      </c>
      <c r="Q22990">
        <v>0</v>
      </c>
      <c r="S22990">
        <v>0</v>
      </c>
    </row>
    <row r="22991" spans="1:19" x14ac:dyDescent="0.3">
      <c r="A22991" t="str">
        <f t="shared" si="22"/>
        <v>Families First ProvidersAll FFOct-24</v>
      </c>
      <c r="B22991" s="171" t="s">
        <v>45907</v>
      </c>
      <c r="C22991" s="171" t="s">
        <v>12995</v>
      </c>
      <c r="D22991" s="171" t="s">
        <v>80</v>
      </c>
      <c r="E22991" s="11">
        <v>45566</v>
      </c>
      <c r="F22991">
        <v>60.5</v>
      </c>
      <c r="G22991">
        <v>82</v>
      </c>
      <c r="I22991">
        <v>262</v>
      </c>
      <c r="J22991">
        <v>461</v>
      </c>
      <c r="L22991">
        <v>586</v>
      </c>
      <c r="N22991">
        <v>225</v>
      </c>
      <c r="O22991" t="s">
        <v>16361</v>
      </c>
      <c r="P22991">
        <v>26</v>
      </c>
      <c r="Q22991">
        <v>33</v>
      </c>
      <c r="S22991">
        <v>37</v>
      </c>
    </row>
    <row r="22992" spans="1:19" x14ac:dyDescent="0.3">
      <c r="A22992" t="str">
        <f t="shared" si="22"/>
        <v>DC Seed ProvidersAll DCSOct-24</v>
      </c>
      <c r="B22992" s="171" t="s">
        <v>45908</v>
      </c>
      <c r="C22992" s="171" t="s">
        <v>15504</v>
      </c>
      <c r="D22992" s="171" t="s">
        <v>15341</v>
      </c>
      <c r="E22992" s="11">
        <v>45566</v>
      </c>
      <c r="F22992">
        <v>0</v>
      </c>
      <c r="G22992">
        <v>0</v>
      </c>
      <c r="I22992">
        <v>0</v>
      </c>
      <c r="J22992">
        <v>0</v>
      </c>
      <c r="L22992">
        <v>0</v>
      </c>
      <c r="N22992">
        <v>0</v>
      </c>
      <c r="O22992" t="s">
        <v>16361</v>
      </c>
      <c r="P22992">
        <v>0</v>
      </c>
      <c r="Q22992">
        <v>0</v>
      </c>
      <c r="S22992">
        <v>0</v>
      </c>
    </row>
    <row r="22993" spans="1:19" x14ac:dyDescent="0.3">
      <c r="A22993" t="str">
        <f t="shared" si="22"/>
        <v>Trauma ProvidersAll FFOct-24</v>
      </c>
      <c r="B22993" s="171" t="s">
        <v>45909</v>
      </c>
      <c r="C22993" s="171" t="s">
        <v>15511</v>
      </c>
      <c r="D22993" s="171" t="s">
        <v>80</v>
      </c>
      <c r="E22993" s="11">
        <v>45566</v>
      </c>
      <c r="F22993">
        <v>18</v>
      </c>
      <c r="G22993">
        <v>25</v>
      </c>
      <c r="H22993">
        <v>201</v>
      </c>
      <c r="I22993">
        <v>29</v>
      </c>
      <c r="J22993">
        <v>98</v>
      </c>
      <c r="L22993">
        <v>136</v>
      </c>
      <c r="N22993">
        <v>24</v>
      </c>
      <c r="P22993">
        <v>2</v>
      </c>
      <c r="Q22993">
        <v>2</v>
      </c>
      <c r="S22993">
        <v>5</v>
      </c>
    </row>
    <row r="22994" spans="1:19" x14ac:dyDescent="0.3">
      <c r="A22994" t="str">
        <f t="shared" si="22"/>
        <v>Trauma ProvidersAll DCSOct-24</v>
      </c>
      <c r="B22994" s="171" t="s">
        <v>45910</v>
      </c>
      <c r="C22994" s="171" t="s">
        <v>15511</v>
      </c>
      <c r="D22994" s="171" t="s">
        <v>15341</v>
      </c>
      <c r="E22994" s="11">
        <v>45566</v>
      </c>
      <c r="F22994">
        <v>0</v>
      </c>
      <c r="G22994">
        <v>0</v>
      </c>
      <c r="I22994">
        <v>0</v>
      </c>
      <c r="J22994">
        <v>0</v>
      </c>
      <c r="L22994">
        <v>0</v>
      </c>
      <c r="N22994">
        <v>0</v>
      </c>
      <c r="P22994">
        <v>0</v>
      </c>
      <c r="Q22994">
        <v>0</v>
      </c>
      <c r="S22994">
        <v>0</v>
      </c>
    </row>
    <row r="22995" spans="1:19" x14ac:dyDescent="0.3">
      <c r="A22995" t="str">
        <f t="shared" si="22"/>
        <v>Trauma ProvidersAll CombinedOct-24</v>
      </c>
      <c r="B22995" s="171" t="s">
        <v>45911</v>
      </c>
      <c r="C22995" s="171" t="s">
        <v>15511</v>
      </c>
      <c r="D22995" s="171" t="s">
        <v>4</v>
      </c>
      <c r="E22995" s="11">
        <v>45566</v>
      </c>
      <c r="F22995">
        <v>18</v>
      </c>
      <c r="G22995">
        <v>25</v>
      </c>
      <c r="I22995">
        <v>29</v>
      </c>
      <c r="J22995">
        <v>98</v>
      </c>
      <c r="L22995">
        <v>136</v>
      </c>
      <c r="N22995">
        <v>24</v>
      </c>
      <c r="P22995">
        <v>2</v>
      </c>
      <c r="Q22995">
        <v>2</v>
      </c>
      <c r="S22995">
        <v>5</v>
      </c>
    </row>
    <row r="22996" spans="1:19" x14ac:dyDescent="0.3">
      <c r="A22996" t="str">
        <f t="shared" si="22"/>
        <v>AllAll CombinedOct-24</v>
      </c>
      <c r="B22996" s="171" t="s">
        <v>45912</v>
      </c>
      <c r="C22996" s="171" t="s">
        <v>104</v>
      </c>
      <c r="D22996" s="171" t="s">
        <v>4</v>
      </c>
      <c r="E22996" s="11">
        <v>45566</v>
      </c>
      <c r="F22996">
        <v>60.5</v>
      </c>
      <c r="G22996">
        <v>82</v>
      </c>
      <c r="I22996">
        <v>262</v>
      </c>
      <c r="J22996">
        <v>461</v>
      </c>
      <c r="L22996">
        <v>586</v>
      </c>
      <c r="N22996">
        <v>225</v>
      </c>
      <c r="P22996">
        <v>26</v>
      </c>
      <c r="Q22996">
        <v>33</v>
      </c>
      <c r="S22996">
        <v>37</v>
      </c>
    </row>
    <row r="22997" spans="1:19" x14ac:dyDescent="0.3">
      <c r="A22997" t="str">
        <f>C22997&amp;" "&amp;D22997&amp;"Nov-24"</f>
        <v>DBH Parent SupportABC FFNov-24</v>
      </c>
      <c r="B22997" s="171" t="s">
        <v>45913</v>
      </c>
      <c r="C22997" s="171" t="s">
        <v>34754</v>
      </c>
      <c r="D22997" s="171" t="s">
        <v>80</v>
      </c>
      <c r="E22997" s="11">
        <v>45597</v>
      </c>
      <c r="F22997">
        <v>0</v>
      </c>
      <c r="G22997">
        <v>0</v>
      </c>
      <c r="I22997">
        <v>0</v>
      </c>
      <c r="J22997">
        <v>0</v>
      </c>
      <c r="L22997">
        <v>0</v>
      </c>
      <c r="N22997">
        <v>0</v>
      </c>
      <c r="P22997">
        <v>0</v>
      </c>
      <c r="Q22997">
        <v>0</v>
      </c>
      <c r="S22997">
        <v>0</v>
      </c>
    </row>
    <row r="22998" spans="1:19" x14ac:dyDescent="0.3">
      <c r="A22998" t="str">
        <f t="shared" ref="A22998:A23061" si="23">C22998&amp;" "&amp;D22998&amp;"Nov-24"</f>
        <v>Healthy FuturesABC FFNov-24</v>
      </c>
      <c r="B22998" s="171" t="s">
        <v>45914</v>
      </c>
      <c r="C22998" s="171" t="s">
        <v>34757</v>
      </c>
      <c r="D22998" s="171" t="s">
        <v>80</v>
      </c>
      <c r="E22998" s="11">
        <v>45597</v>
      </c>
      <c r="F22998">
        <v>0</v>
      </c>
      <c r="G22998">
        <v>0</v>
      </c>
      <c r="I22998">
        <v>0</v>
      </c>
      <c r="J22998">
        <v>0</v>
      </c>
      <c r="L22998">
        <v>0</v>
      </c>
      <c r="N22998">
        <v>0</v>
      </c>
      <c r="P22998">
        <v>0</v>
      </c>
      <c r="Q22998">
        <v>0</v>
      </c>
      <c r="S22998">
        <v>0</v>
      </c>
    </row>
    <row r="22999" spans="1:19" x14ac:dyDescent="0.3">
      <c r="A22999" t="str">
        <f t="shared" si="23"/>
        <v>Marys CenterABC FFNov-24</v>
      </c>
      <c r="B22999" s="171" t="s">
        <v>45915</v>
      </c>
      <c r="C22999" s="171" t="s">
        <v>34760</v>
      </c>
      <c r="D22999" s="171" t="s">
        <v>80</v>
      </c>
      <c r="E22999" s="11">
        <v>45597</v>
      </c>
      <c r="F22999">
        <v>0</v>
      </c>
      <c r="G22999">
        <v>0</v>
      </c>
      <c r="I22999">
        <v>0</v>
      </c>
      <c r="J22999">
        <v>0</v>
      </c>
      <c r="L22999">
        <v>0</v>
      </c>
      <c r="N22999">
        <v>0</v>
      </c>
      <c r="P22999">
        <v>0</v>
      </c>
      <c r="Q22999">
        <v>0</v>
      </c>
      <c r="S22999">
        <v>0</v>
      </c>
    </row>
    <row r="23000" spans="1:19" x14ac:dyDescent="0.3">
      <c r="A23000" t="str">
        <f t="shared" si="23"/>
        <v>Medstar GeorgetownABC FFNov-24</v>
      </c>
      <c r="B23000" s="171" t="s">
        <v>45916</v>
      </c>
      <c r="C23000" s="171" t="s">
        <v>34763</v>
      </c>
      <c r="D23000" s="171" t="s">
        <v>80</v>
      </c>
      <c r="E23000" s="11">
        <v>45597</v>
      </c>
      <c r="F23000">
        <v>0</v>
      </c>
      <c r="G23000">
        <v>0</v>
      </c>
      <c r="I23000">
        <v>0</v>
      </c>
      <c r="J23000">
        <v>0</v>
      </c>
      <c r="L23000">
        <v>0</v>
      </c>
      <c r="N23000">
        <v>0</v>
      </c>
      <c r="P23000">
        <v>0</v>
      </c>
      <c r="Q23000">
        <v>0</v>
      </c>
      <c r="S23000">
        <v>0</v>
      </c>
    </row>
    <row r="23001" spans="1:19" x14ac:dyDescent="0.3">
      <c r="A23001" t="str">
        <f t="shared" si="23"/>
        <v>PIECEABC FFNov-24</v>
      </c>
      <c r="B23001" s="171" t="s">
        <v>45917</v>
      </c>
      <c r="C23001" s="171" t="s">
        <v>34766</v>
      </c>
      <c r="D23001" s="171" t="s">
        <v>80</v>
      </c>
      <c r="E23001" s="11">
        <v>45597</v>
      </c>
      <c r="F23001">
        <v>0</v>
      </c>
      <c r="G23001">
        <v>0</v>
      </c>
      <c r="I23001">
        <v>0</v>
      </c>
      <c r="J23001">
        <v>0</v>
      </c>
      <c r="L23001">
        <v>0</v>
      </c>
      <c r="N23001">
        <v>0</v>
      </c>
      <c r="P23001">
        <v>0</v>
      </c>
      <c r="Q23001">
        <v>0</v>
      </c>
      <c r="S23001">
        <v>0</v>
      </c>
    </row>
    <row r="23002" spans="1:19" x14ac:dyDescent="0.3">
      <c r="A23002" t="str">
        <f t="shared" si="23"/>
        <v>Federal CityA-CRA FFNov-24</v>
      </c>
      <c r="B23002" s="171" t="s">
        <v>45918</v>
      </c>
      <c r="C23002" s="171" t="s">
        <v>119</v>
      </c>
      <c r="D23002" s="171" t="s">
        <v>80</v>
      </c>
      <c r="E23002" s="11">
        <v>45597</v>
      </c>
      <c r="F23002">
        <v>0</v>
      </c>
      <c r="G23002">
        <v>0</v>
      </c>
      <c r="I23002">
        <v>0</v>
      </c>
      <c r="J23002">
        <v>0</v>
      </c>
      <c r="L23002">
        <v>0</v>
      </c>
      <c r="N23002">
        <v>0</v>
      </c>
      <c r="P23002">
        <v>0</v>
      </c>
      <c r="Q23002">
        <v>0</v>
      </c>
      <c r="S23002">
        <v>0</v>
      </c>
    </row>
    <row r="23003" spans="1:19" x14ac:dyDescent="0.3">
      <c r="A23003" t="str">
        <f t="shared" si="23"/>
        <v>HillcrestA-CRA FFNov-24</v>
      </c>
      <c r="B23003" s="171" t="s">
        <v>45919</v>
      </c>
      <c r="C23003" s="171" t="s">
        <v>143</v>
      </c>
      <c r="D23003" s="171" t="s">
        <v>80</v>
      </c>
      <c r="E23003" s="11">
        <v>45597</v>
      </c>
      <c r="F23003">
        <v>0</v>
      </c>
      <c r="G23003">
        <v>0</v>
      </c>
      <c r="I23003">
        <v>0</v>
      </c>
      <c r="J23003">
        <v>0</v>
      </c>
      <c r="L23003">
        <v>0</v>
      </c>
      <c r="N23003">
        <v>0</v>
      </c>
      <c r="P23003">
        <v>0</v>
      </c>
      <c r="Q23003">
        <v>0</v>
      </c>
      <c r="S23003">
        <v>0</v>
      </c>
    </row>
    <row r="23004" spans="1:19" x14ac:dyDescent="0.3">
      <c r="A23004" t="str">
        <f t="shared" si="23"/>
        <v>LAYCA-CRA FFNov-24</v>
      </c>
      <c r="B23004" s="171" t="s">
        <v>45920</v>
      </c>
      <c r="C23004" s="171" t="s">
        <v>158</v>
      </c>
      <c r="D23004" s="171" t="s">
        <v>80</v>
      </c>
      <c r="E23004" s="11">
        <v>45597</v>
      </c>
      <c r="F23004">
        <v>0</v>
      </c>
      <c r="G23004">
        <v>0</v>
      </c>
      <c r="I23004">
        <v>0</v>
      </c>
      <c r="J23004">
        <v>0</v>
      </c>
      <c r="L23004">
        <v>0</v>
      </c>
      <c r="N23004">
        <v>0</v>
      </c>
      <c r="P23004">
        <v>0</v>
      </c>
      <c r="Q23004">
        <v>0</v>
      </c>
      <c r="S23004">
        <v>0</v>
      </c>
    </row>
    <row r="23005" spans="1:19" x14ac:dyDescent="0.3">
      <c r="A23005" t="str">
        <f t="shared" si="23"/>
        <v>RiversideA-CRA FFNov-24</v>
      </c>
      <c r="B23005" s="171" t="s">
        <v>45921</v>
      </c>
      <c r="C23005" s="171" t="s">
        <v>209</v>
      </c>
      <c r="D23005" s="171" t="s">
        <v>80</v>
      </c>
      <c r="E23005" s="11">
        <v>45597</v>
      </c>
      <c r="F23005">
        <v>0</v>
      </c>
      <c r="G23005">
        <v>0</v>
      </c>
      <c r="I23005">
        <v>0</v>
      </c>
      <c r="J23005">
        <v>0</v>
      </c>
      <c r="L23005">
        <v>0</v>
      </c>
      <c r="N23005">
        <v>0</v>
      </c>
      <c r="P23005">
        <v>0</v>
      </c>
      <c r="Q23005">
        <v>0</v>
      </c>
      <c r="S23005">
        <v>0</v>
      </c>
    </row>
    <row r="23006" spans="1:19" x14ac:dyDescent="0.3">
      <c r="A23006" t="str">
        <f t="shared" si="23"/>
        <v>Adoptions TogetherCPP-FV FFNov-24</v>
      </c>
      <c r="B23006" s="171" t="s">
        <v>45922</v>
      </c>
      <c r="C23006" s="171" t="s">
        <v>76</v>
      </c>
      <c r="D23006" s="171" t="s">
        <v>80</v>
      </c>
      <c r="E23006" s="11">
        <v>45597</v>
      </c>
      <c r="F23006">
        <v>0</v>
      </c>
      <c r="G23006">
        <v>0</v>
      </c>
      <c r="I23006">
        <v>0</v>
      </c>
      <c r="J23006">
        <v>0</v>
      </c>
      <c r="L23006">
        <v>0</v>
      </c>
      <c r="N23006">
        <v>0</v>
      </c>
      <c r="P23006">
        <v>0</v>
      </c>
      <c r="Q23006">
        <v>0</v>
      </c>
      <c r="S23006">
        <v>0</v>
      </c>
    </row>
    <row r="23007" spans="1:19" x14ac:dyDescent="0.3">
      <c r="A23007" t="str">
        <f t="shared" si="23"/>
        <v>Community ConnectionsCPP-FV DCSNov-24</v>
      </c>
      <c r="B23007" s="171" t="s">
        <v>45923</v>
      </c>
      <c r="C23007" s="171" t="s">
        <v>15340</v>
      </c>
      <c r="D23007" s="171" t="s">
        <v>15341</v>
      </c>
      <c r="E23007" s="11">
        <v>45597</v>
      </c>
      <c r="F23007">
        <v>0</v>
      </c>
      <c r="G23007">
        <v>0</v>
      </c>
      <c r="I23007">
        <v>0</v>
      </c>
      <c r="J23007">
        <v>0</v>
      </c>
      <c r="L23007">
        <v>0</v>
      </c>
      <c r="N23007">
        <v>0</v>
      </c>
      <c r="P23007">
        <v>0</v>
      </c>
      <c r="Q23007">
        <v>0</v>
      </c>
      <c r="S23007">
        <v>0</v>
      </c>
    </row>
    <row r="23008" spans="1:19" x14ac:dyDescent="0.3">
      <c r="A23008" t="str">
        <f t="shared" si="23"/>
        <v>Community ConnectionsCPP-FV FFNov-24</v>
      </c>
      <c r="B23008" s="171" t="s">
        <v>45924</v>
      </c>
      <c r="C23008" s="171" t="s">
        <v>15340</v>
      </c>
      <c r="D23008" s="171" t="s">
        <v>80</v>
      </c>
      <c r="E23008" s="11">
        <v>45597</v>
      </c>
      <c r="F23008">
        <v>0</v>
      </c>
      <c r="G23008">
        <v>0</v>
      </c>
      <c r="I23008">
        <v>0</v>
      </c>
      <c r="J23008">
        <v>0</v>
      </c>
      <c r="L23008">
        <v>0</v>
      </c>
      <c r="N23008">
        <v>0</v>
      </c>
      <c r="P23008">
        <v>0</v>
      </c>
      <c r="Q23008">
        <v>0</v>
      </c>
      <c r="S23008">
        <v>0</v>
      </c>
    </row>
    <row r="23009" spans="1:19" x14ac:dyDescent="0.3">
      <c r="A23009" t="str">
        <f t="shared" si="23"/>
        <v>Foundations for Home &amp; CommunityCPP-FV DCSNov-24</v>
      </c>
      <c r="B23009" s="171" t="s">
        <v>45925</v>
      </c>
      <c r="C23009" s="171" t="s">
        <v>15344</v>
      </c>
      <c r="D23009" s="171" t="s">
        <v>15341</v>
      </c>
      <c r="E23009" s="11">
        <v>45597</v>
      </c>
      <c r="F23009">
        <v>0</v>
      </c>
      <c r="G23009">
        <v>0</v>
      </c>
      <c r="I23009">
        <v>0</v>
      </c>
      <c r="J23009">
        <v>0</v>
      </c>
      <c r="L23009">
        <v>0</v>
      </c>
      <c r="N23009">
        <v>0</v>
      </c>
      <c r="P23009">
        <v>0</v>
      </c>
      <c r="Q23009">
        <v>0</v>
      </c>
      <c r="S23009">
        <v>0</v>
      </c>
    </row>
    <row r="23010" spans="1:19" x14ac:dyDescent="0.3">
      <c r="A23010" t="str">
        <f t="shared" si="23"/>
        <v>Marys CenterCPP-FV DCSNov-24</v>
      </c>
      <c r="B23010" s="171" t="s">
        <v>45926</v>
      </c>
      <c r="C23010" s="171" t="s">
        <v>15347</v>
      </c>
      <c r="D23010" s="171" t="s">
        <v>15341</v>
      </c>
      <c r="E23010" s="11">
        <v>45597</v>
      </c>
      <c r="F23010">
        <v>0</v>
      </c>
      <c r="G23010">
        <v>0</v>
      </c>
      <c r="I23010">
        <v>0</v>
      </c>
      <c r="J23010">
        <v>0</v>
      </c>
      <c r="L23010">
        <v>0</v>
      </c>
      <c r="N23010">
        <v>0</v>
      </c>
      <c r="P23010">
        <v>0</v>
      </c>
      <c r="Q23010">
        <v>0</v>
      </c>
      <c r="S23010">
        <v>0</v>
      </c>
    </row>
    <row r="23011" spans="1:19" x14ac:dyDescent="0.3">
      <c r="A23011" t="str">
        <f t="shared" si="23"/>
        <v>Marys CenterCPP-FV FFNov-24</v>
      </c>
      <c r="B23011" s="171" t="s">
        <v>45927</v>
      </c>
      <c r="C23011" s="171" t="s">
        <v>15347</v>
      </c>
      <c r="D23011" s="171" t="s">
        <v>80</v>
      </c>
      <c r="E23011" s="11">
        <v>45597</v>
      </c>
      <c r="F23011">
        <v>1.5</v>
      </c>
      <c r="G23011">
        <v>2.5</v>
      </c>
      <c r="I23011">
        <v>5</v>
      </c>
      <c r="J23011">
        <v>9</v>
      </c>
      <c r="L23011">
        <v>15</v>
      </c>
      <c r="N23011">
        <v>5</v>
      </c>
      <c r="P23011">
        <v>0</v>
      </c>
      <c r="Q23011">
        <v>0</v>
      </c>
      <c r="S23011">
        <v>0</v>
      </c>
    </row>
    <row r="23012" spans="1:19" x14ac:dyDescent="0.3">
      <c r="A23012" t="str">
        <f t="shared" si="23"/>
        <v>PIECECPP-FV DCSNov-24</v>
      </c>
      <c r="B23012" s="171" t="s">
        <v>45928</v>
      </c>
      <c r="C23012" s="171" t="s">
        <v>203</v>
      </c>
      <c r="D23012" s="171" t="s">
        <v>15341</v>
      </c>
      <c r="E23012" s="11">
        <v>45597</v>
      </c>
      <c r="F23012">
        <v>0</v>
      </c>
      <c r="G23012">
        <v>0</v>
      </c>
      <c r="I23012">
        <v>0</v>
      </c>
      <c r="J23012">
        <v>0</v>
      </c>
      <c r="L23012">
        <v>0</v>
      </c>
      <c r="N23012">
        <v>0</v>
      </c>
      <c r="P23012">
        <v>0</v>
      </c>
      <c r="Q23012">
        <v>0</v>
      </c>
      <c r="S23012">
        <v>0</v>
      </c>
    </row>
    <row r="23013" spans="1:19" x14ac:dyDescent="0.3">
      <c r="A23013" t="str">
        <f t="shared" si="23"/>
        <v>PIECECPP-FV FFNov-24</v>
      </c>
      <c r="B23013" s="171" t="s">
        <v>45929</v>
      </c>
      <c r="C23013" s="171" t="s">
        <v>203</v>
      </c>
      <c r="D23013" s="171" t="s">
        <v>80</v>
      </c>
      <c r="E23013" s="11">
        <v>45597</v>
      </c>
      <c r="F23013">
        <v>3</v>
      </c>
      <c r="G23013">
        <v>2.5</v>
      </c>
      <c r="I23013">
        <v>4</v>
      </c>
      <c r="J23013">
        <v>15</v>
      </c>
      <c r="L23013">
        <v>13</v>
      </c>
      <c r="N23013">
        <v>3</v>
      </c>
      <c r="P23013">
        <v>0</v>
      </c>
      <c r="Q23013">
        <v>0</v>
      </c>
      <c r="S23013">
        <v>1</v>
      </c>
    </row>
    <row r="23014" spans="1:19" x14ac:dyDescent="0.3">
      <c r="A23014" t="str">
        <f t="shared" si="23"/>
        <v>Medstar GeorgetownCPP-FV DCSNov-24</v>
      </c>
      <c r="B23014" s="171" t="s">
        <v>45930</v>
      </c>
      <c r="C23014" s="171" t="s">
        <v>24281</v>
      </c>
      <c r="D23014" s="171" t="s">
        <v>15341</v>
      </c>
      <c r="E23014" s="11">
        <v>45597</v>
      </c>
      <c r="F23014">
        <v>0</v>
      </c>
      <c r="G23014">
        <v>0</v>
      </c>
      <c r="I23014">
        <v>0</v>
      </c>
      <c r="J23014">
        <v>0</v>
      </c>
      <c r="L23014">
        <v>0</v>
      </c>
      <c r="N23014">
        <v>0</v>
      </c>
      <c r="P23014">
        <v>0</v>
      </c>
      <c r="Q23014">
        <v>0</v>
      </c>
      <c r="S23014">
        <v>0</v>
      </c>
    </row>
    <row r="23015" spans="1:19" x14ac:dyDescent="0.3">
      <c r="A23015" t="str">
        <f t="shared" si="23"/>
        <v>Medstar GeorgetownCPP-FV FFNov-24</v>
      </c>
      <c r="B23015" s="171" t="s">
        <v>45931</v>
      </c>
      <c r="C23015" s="171" t="s">
        <v>24281</v>
      </c>
      <c r="D23015" s="171" t="s">
        <v>80</v>
      </c>
      <c r="E23015" s="11">
        <v>45597</v>
      </c>
      <c r="F23015">
        <v>0</v>
      </c>
      <c r="G23015">
        <v>0</v>
      </c>
      <c r="I23015">
        <v>0</v>
      </c>
      <c r="J23015">
        <v>0</v>
      </c>
      <c r="L23015">
        <v>0</v>
      </c>
      <c r="N23015">
        <v>0</v>
      </c>
      <c r="P23015">
        <v>0</v>
      </c>
      <c r="Q23015">
        <v>0</v>
      </c>
      <c r="S23015">
        <v>0</v>
      </c>
    </row>
    <row r="23016" spans="1:19" x14ac:dyDescent="0.3">
      <c r="A23016" t="str">
        <f t="shared" si="23"/>
        <v>Better MorningsFFT FFNov-24</v>
      </c>
      <c r="B23016" s="171" t="s">
        <v>45932</v>
      </c>
      <c r="C23016" s="171" t="s">
        <v>24284</v>
      </c>
      <c r="D23016" s="171" t="s">
        <v>80</v>
      </c>
      <c r="E23016" s="11">
        <v>45597</v>
      </c>
      <c r="F23016">
        <v>3</v>
      </c>
      <c r="G23016">
        <v>3</v>
      </c>
      <c r="I23016">
        <v>10</v>
      </c>
      <c r="J23016">
        <v>17</v>
      </c>
      <c r="L23016">
        <v>17</v>
      </c>
      <c r="N23016">
        <v>7</v>
      </c>
      <c r="P23016">
        <v>1</v>
      </c>
      <c r="Q23016">
        <v>1</v>
      </c>
      <c r="S23016">
        <v>3</v>
      </c>
    </row>
    <row r="23017" spans="1:19" x14ac:dyDescent="0.3">
      <c r="A23017" t="str">
        <f t="shared" si="23"/>
        <v>CatholicFFT FFNov-24</v>
      </c>
      <c r="B23017" s="171" t="s">
        <v>45933</v>
      </c>
      <c r="C23017" s="171" t="s">
        <v>18126</v>
      </c>
      <c r="D23017" s="171" t="s">
        <v>80</v>
      </c>
      <c r="E23017" s="11">
        <v>45597</v>
      </c>
      <c r="F23017">
        <v>0</v>
      </c>
      <c r="G23017">
        <v>0</v>
      </c>
      <c r="I23017">
        <v>0</v>
      </c>
      <c r="J23017">
        <v>0</v>
      </c>
      <c r="L23017">
        <v>0</v>
      </c>
      <c r="N23017">
        <v>0</v>
      </c>
      <c r="P23017">
        <v>0</v>
      </c>
      <c r="Q23017">
        <v>0</v>
      </c>
      <c r="S23017">
        <v>0</v>
      </c>
    </row>
    <row r="23018" spans="1:19" x14ac:dyDescent="0.3">
      <c r="A23018" t="str">
        <f t="shared" si="23"/>
        <v>First Home CareFFT FFNov-24</v>
      </c>
      <c r="B23018" s="171" t="s">
        <v>45934</v>
      </c>
      <c r="C23018" s="171" t="s">
        <v>128</v>
      </c>
      <c r="D23018" s="171" t="s">
        <v>80</v>
      </c>
      <c r="E23018" s="11">
        <v>45597</v>
      </c>
      <c r="F23018">
        <v>0</v>
      </c>
      <c r="G23018">
        <v>0</v>
      </c>
      <c r="I23018">
        <v>0</v>
      </c>
      <c r="J23018">
        <v>0</v>
      </c>
      <c r="L23018">
        <v>0</v>
      </c>
      <c r="N23018">
        <v>0</v>
      </c>
      <c r="P23018">
        <v>0</v>
      </c>
      <c r="Q23018">
        <v>0</v>
      </c>
      <c r="S23018">
        <v>0</v>
      </c>
    </row>
    <row r="23019" spans="1:19" x14ac:dyDescent="0.3">
      <c r="A23019" t="str">
        <f t="shared" si="23"/>
        <v>Foundations for Home &amp; CommunityFFT FFNov-24</v>
      </c>
      <c r="B23019" s="171" t="s">
        <v>45935</v>
      </c>
      <c r="C23019" s="171" t="s">
        <v>14824</v>
      </c>
      <c r="D23019" s="171" t="s">
        <v>80</v>
      </c>
      <c r="E23019" s="11">
        <v>45597</v>
      </c>
      <c r="F23019">
        <v>0</v>
      </c>
      <c r="G23019">
        <v>0</v>
      </c>
      <c r="I23019">
        <v>0</v>
      </c>
      <c r="J23019">
        <v>0</v>
      </c>
      <c r="L23019">
        <v>0</v>
      </c>
      <c r="N23019">
        <v>0</v>
      </c>
      <c r="P23019">
        <v>0</v>
      </c>
      <c r="Q23019">
        <v>0</v>
      </c>
      <c r="S23019">
        <v>0</v>
      </c>
    </row>
    <row r="23020" spans="1:19" x14ac:dyDescent="0.3">
      <c r="A23020" t="str">
        <f t="shared" si="23"/>
        <v>HillcrestFFT FFNov-24</v>
      </c>
      <c r="B23020" s="171" t="s">
        <v>45936</v>
      </c>
      <c r="C23020" s="171" t="s">
        <v>152</v>
      </c>
      <c r="D23020" s="171" t="s">
        <v>80</v>
      </c>
      <c r="E23020" s="11">
        <v>45597</v>
      </c>
      <c r="F23020">
        <v>0</v>
      </c>
      <c r="G23020">
        <v>0</v>
      </c>
      <c r="I23020">
        <v>0</v>
      </c>
      <c r="J23020">
        <v>0</v>
      </c>
      <c r="L23020">
        <v>0</v>
      </c>
      <c r="N23020">
        <v>0</v>
      </c>
      <c r="P23020">
        <v>0</v>
      </c>
      <c r="Q23020">
        <v>0</v>
      </c>
      <c r="S23020">
        <v>0</v>
      </c>
    </row>
    <row r="23021" spans="1:19" x14ac:dyDescent="0.3">
      <c r="A23021" t="str">
        <f t="shared" si="23"/>
        <v>PASSFFT FFNov-24</v>
      </c>
      <c r="B23021" s="171" t="s">
        <v>45937</v>
      </c>
      <c r="C23021" s="171" t="s">
        <v>194</v>
      </c>
      <c r="D23021" s="171" t="s">
        <v>80</v>
      </c>
      <c r="E23021" s="11">
        <v>45597</v>
      </c>
      <c r="F23021">
        <v>2</v>
      </c>
      <c r="G23021">
        <v>5</v>
      </c>
      <c r="I23021">
        <v>12</v>
      </c>
      <c r="J23021">
        <v>12</v>
      </c>
      <c r="L23021">
        <v>27</v>
      </c>
      <c r="N23021">
        <v>11</v>
      </c>
      <c r="P23021">
        <v>0</v>
      </c>
      <c r="Q23021">
        <v>0</v>
      </c>
      <c r="S23021">
        <v>1</v>
      </c>
    </row>
    <row r="23022" spans="1:19" x14ac:dyDescent="0.3">
      <c r="A23022" t="str">
        <f t="shared" si="23"/>
        <v>Better MorningsIHCBS FFNov-24</v>
      </c>
      <c r="B23022" s="171" t="s">
        <v>45938</v>
      </c>
      <c r="C23022" s="171" t="s">
        <v>39930</v>
      </c>
      <c r="D23022" s="171" t="s">
        <v>80</v>
      </c>
      <c r="E23022" s="11">
        <v>45597</v>
      </c>
      <c r="F23022">
        <v>4</v>
      </c>
      <c r="G23022">
        <v>4</v>
      </c>
      <c r="I23022">
        <v>13</v>
      </c>
      <c r="J23022">
        <v>16</v>
      </c>
      <c r="L23022">
        <v>16</v>
      </c>
      <c r="N23022">
        <v>8</v>
      </c>
      <c r="P23022">
        <v>4</v>
      </c>
      <c r="Q23022">
        <v>5</v>
      </c>
      <c r="S23022">
        <v>5</v>
      </c>
    </row>
    <row r="23023" spans="1:19" x14ac:dyDescent="0.3">
      <c r="A23023" t="str">
        <f t="shared" si="23"/>
        <v>HillcrestIHCBS FFNov-24</v>
      </c>
      <c r="B23023" s="171" t="s">
        <v>45939</v>
      </c>
      <c r="C23023" s="171" t="s">
        <v>39933</v>
      </c>
      <c r="D23023" s="171" t="s">
        <v>80</v>
      </c>
      <c r="E23023" s="11">
        <v>45597</v>
      </c>
      <c r="F23023">
        <v>3</v>
      </c>
      <c r="G23023">
        <v>4</v>
      </c>
      <c r="I23023">
        <v>16</v>
      </c>
      <c r="J23023">
        <v>12</v>
      </c>
      <c r="L23023">
        <v>16</v>
      </c>
      <c r="N23023">
        <v>14</v>
      </c>
      <c r="P23023">
        <v>1</v>
      </c>
      <c r="Q23023">
        <v>1</v>
      </c>
      <c r="S23023">
        <v>2</v>
      </c>
    </row>
    <row r="23024" spans="1:19" x14ac:dyDescent="0.3">
      <c r="A23024" t="str">
        <f t="shared" si="23"/>
        <v>LESIHCBS FFNov-24</v>
      </c>
      <c r="B23024" s="171" t="s">
        <v>45940</v>
      </c>
      <c r="C23024" s="171" t="s">
        <v>39936</v>
      </c>
      <c r="D23024" s="171" t="s">
        <v>80</v>
      </c>
      <c r="E23024" s="11">
        <v>45597</v>
      </c>
      <c r="F23024">
        <v>0</v>
      </c>
      <c r="G23024">
        <v>0</v>
      </c>
      <c r="I23024">
        <v>0</v>
      </c>
      <c r="J23024">
        <v>0</v>
      </c>
      <c r="L23024">
        <v>0</v>
      </c>
      <c r="N23024">
        <v>0</v>
      </c>
      <c r="P23024">
        <v>0</v>
      </c>
      <c r="Q23024">
        <v>0</v>
      </c>
      <c r="S23024">
        <v>0</v>
      </c>
    </row>
    <row r="23025" spans="1:19" x14ac:dyDescent="0.3">
      <c r="A23025" t="str">
        <f t="shared" si="23"/>
        <v>MBI HSIHCBS FFNov-24</v>
      </c>
      <c r="B23025" s="171" t="s">
        <v>45941</v>
      </c>
      <c r="C23025" s="171" t="s">
        <v>39939</v>
      </c>
      <c r="D23025" s="171" t="s">
        <v>80</v>
      </c>
      <c r="E23025" s="11">
        <v>45597</v>
      </c>
      <c r="F23025">
        <v>2</v>
      </c>
      <c r="G23025">
        <v>2</v>
      </c>
      <c r="I23025">
        <v>6</v>
      </c>
      <c r="J23025">
        <v>8</v>
      </c>
      <c r="L23025">
        <v>8</v>
      </c>
      <c r="N23025">
        <v>6</v>
      </c>
      <c r="P23025">
        <v>0</v>
      </c>
      <c r="Q23025">
        <v>0</v>
      </c>
      <c r="S23025">
        <v>0</v>
      </c>
    </row>
    <row r="23026" spans="1:19" x14ac:dyDescent="0.3">
      <c r="A23026" t="str">
        <f t="shared" si="23"/>
        <v>MD Family ResourcesIHCBS FFNov-24</v>
      </c>
      <c r="B23026" s="171" t="s">
        <v>45942</v>
      </c>
      <c r="C23026" s="171" t="s">
        <v>39942</v>
      </c>
      <c r="D23026" s="171" t="s">
        <v>80</v>
      </c>
      <c r="E23026" s="11">
        <v>45597</v>
      </c>
      <c r="F23026">
        <v>0</v>
      </c>
      <c r="G23026">
        <v>4</v>
      </c>
      <c r="I23026">
        <v>0</v>
      </c>
      <c r="J23026">
        <v>0</v>
      </c>
      <c r="L23026">
        <v>16</v>
      </c>
      <c r="N23026">
        <v>0</v>
      </c>
      <c r="P23026">
        <v>0</v>
      </c>
      <c r="Q23026">
        <v>0</v>
      </c>
      <c r="S23026">
        <v>0</v>
      </c>
    </row>
    <row r="23027" spans="1:19" x14ac:dyDescent="0.3">
      <c r="A23027" t="str">
        <f t="shared" si="23"/>
        <v>UmbrellaIHCBS FFNov-24</v>
      </c>
      <c r="B23027" s="171" t="s">
        <v>45943</v>
      </c>
      <c r="C23027" s="171" t="s">
        <v>45944</v>
      </c>
      <c r="D23027" s="171" t="s">
        <v>80</v>
      </c>
      <c r="E23027" s="11">
        <v>45597</v>
      </c>
      <c r="F23027">
        <v>2</v>
      </c>
      <c r="G23027">
        <v>2</v>
      </c>
      <c r="I23027">
        <v>1</v>
      </c>
      <c r="J23027">
        <v>8</v>
      </c>
      <c r="L23027">
        <v>8</v>
      </c>
      <c r="N23027">
        <v>0</v>
      </c>
      <c r="P23027">
        <v>0</v>
      </c>
      <c r="Q23027">
        <v>0</v>
      </c>
      <c r="S23027">
        <v>1</v>
      </c>
    </row>
    <row r="23028" spans="1:19" x14ac:dyDescent="0.3">
      <c r="A23028" t="str">
        <f t="shared" si="23"/>
        <v>LCSMST FFNov-24</v>
      </c>
      <c r="B23028" s="171" t="s">
        <v>45945</v>
      </c>
      <c r="C23028" s="171" t="s">
        <v>18137</v>
      </c>
      <c r="D23028" s="171" t="s">
        <v>80</v>
      </c>
      <c r="E23028" s="11">
        <v>45597</v>
      </c>
      <c r="F23028">
        <v>0</v>
      </c>
      <c r="G23028">
        <v>0</v>
      </c>
      <c r="I23028">
        <v>0</v>
      </c>
      <c r="J23028">
        <v>0</v>
      </c>
      <c r="L23028">
        <v>0</v>
      </c>
      <c r="N23028">
        <v>0</v>
      </c>
      <c r="P23028">
        <v>0</v>
      </c>
      <c r="Q23028">
        <v>0</v>
      </c>
      <c r="S23028">
        <v>0</v>
      </c>
    </row>
    <row r="23029" spans="1:19" x14ac:dyDescent="0.3">
      <c r="A23029" t="str">
        <f t="shared" si="23"/>
        <v>MBI HSMST FFNov-24</v>
      </c>
      <c r="B23029" s="171" t="s">
        <v>45946</v>
      </c>
      <c r="C23029" s="171" t="s">
        <v>18140</v>
      </c>
      <c r="D23029" s="171" t="s">
        <v>80</v>
      </c>
      <c r="E23029" s="11">
        <v>45597</v>
      </c>
      <c r="F23029">
        <v>2</v>
      </c>
      <c r="G23029">
        <v>4</v>
      </c>
      <c r="I23029">
        <v>7</v>
      </c>
      <c r="J23029">
        <v>10</v>
      </c>
      <c r="L23029">
        <v>20</v>
      </c>
      <c r="N23029">
        <v>6</v>
      </c>
      <c r="P23029">
        <v>3</v>
      </c>
      <c r="Q23029">
        <v>4</v>
      </c>
      <c r="S23029">
        <v>1</v>
      </c>
    </row>
    <row r="23030" spans="1:19" x14ac:dyDescent="0.3">
      <c r="A23030" t="str">
        <f t="shared" si="23"/>
        <v>Youth VillagesMST FFNov-24</v>
      </c>
      <c r="B23030" s="171" t="s">
        <v>45947</v>
      </c>
      <c r="C23030" s="171" t="s">
        <v>236</v>
      </c>
      <c r="D23030" s="171" t="s">
        <v>80</v>
      </c>
      <c r="E23030" s="11">
        <v>45597</v>
      </c>
      <c r="F23030">
        <v>0</v>
      </c>
      <c r="G23030">
        <v>0</v>
      </c>
      <c r="I23030">
        <v>0</v>
      </c>
      <c r="J23030">
        <v>0</v>
      </c>
      <c r="L23030">
        <v>0</v>
      </c>
      <c r="N23030">
        <v>0</v>
      </c>
      <c r="P23030">
        <v>0</v>
      </c>
      <c r="Q23030">
        <v>0</v>
      </c>
      <c r="S23030">
        <v>0</v>
      </c>
    </row>
    <row r="23031" spans="1:19" x14ac:dyDescent="0.3">
      <c r="A23031" t="str">
        <f t="shared" si="23"/>
        <v>Youth VillagesMST-PSB FFNov-24</v>
      </c>
      <c r="B23031" s="171" t="s">
        <v>45948</v>
      </c>
      <c r="C23031" s="171" t="s">
        <v>239</v>
      </c>
      <c r="D23031" s="171" t="s">
        <v>80</v>
      </c>
      <c r="E23031" s="11">
        <v>45597</v>
      </c>
      <c r="F23031">
        <v>0</v>
      </c>
      <c r="G23031">
        <v>0</v>
      </c>
      <c r="I23031">
        <v>0</v>
      </c>
      <c r="J23031">
        <v>0</v>
      </c>
      <c r="L23031">
        <v>0</v>
      </c>
      <c r="N23031">
        <v>0</v>
      </c>
      <c r="P23031">
        <v>0</v>
      </c>
      <c r="Q23031">
        <v>0</v>
      </c>
      <c r="S23031">
        <v>0</v>
      </c>
    </row>
    <row r="23032" spans="1:19" x14ac:dyDescent="0.3">
      <c r="A23032" t="str">
        <f t="shared" si="23"/>
        <v>Marys CenterPCIT FFNov-24</v>
      </c>
      <c r="B23032" s="171" t="s">
        <v>45949</v>
      </c>
      <c r="C23032" s="171" t="s">
        <v>176</v>
      </c>
      <c r="D23032" s="171" t="s">
        <v>80</v>
      </c>
      <c r="E23032" s="11">
        <v>45597</v>
      </c>
      <c r="F23032">
        <v>2</v>
      </c>
      <c r="G23032">
        <v>2</v>
      </c>
      <c r="I23032">
        <v>1</v>
      </c>
      <c r="J23032">
        <v>11</v>
      </c>
      <c r="L23032">
        <v>11</v>
      </c>
      <c r="N23032">
        <v>1</v>
      </c>
      <c r="P23032">
        <v>0</v>
      </c>
      <c r="Q23032">
        <v>1</v>
      </c>
      <c r="S23032">
        <v>0</v>
      </c>
    </row>
    <row r="23033" spans="1:19" x14ac:dyDescent="0.3">
      <c r="A23033" t="str">
        <f t="shared" si="23"/>
        <v>PIECEPCIT FFNov-24</v>
      </c>
      <c r="B23033" s="171" t="s">
        <v>45950</v>
      </c>
      <c r="C23033" s="171" t="s">
        <v>206</v>
      </c>
      <c r="D23033" s="171" t="s">
        <v>80</v>
      </c>
      <c r="E23033" s="11">
        <v>45597</v>
      </c>
      <c r="F23033">
        <v>1.5</v>
      </c>
      <c r="G23033">
        <v>1.5</v>
      </c>
      <c r="I23033">
        <v>2</v>
      </c>
      <c r="J23033">
        <v>7</v>
      </c>
      <c r="L23033">
        <v>7</v>
      </c>
      <c r="N23033">
        <v>2</v>
      </c>
      <c r="P23033">
        <v>0</v>
      </c>
      <c r="Q23033">
        <v>0</v>
      </c>
      <c r="S23033">
        <v>0</v>
      </c>
    </row>
    <row r="23034" spans="1:19" x14ac:dyDescent="0.3">
      <c r="A23034" t="str">
        <f t="shared" si="23"/>
        <v>Marys CenterPCIT DCSNov-24</v>
      </c>
      <c r="B23034" s="171" t="s">
        <v>45951</v>
      </c>
      <c r="C23034" s="171" t="s">
        <v>176</v>
      </c>
      <c r="D23034" s="171" t="s">
        <v>15341</v>
      </c>
      <c r="E23034" s="11">
        <v>45597</v>
      </c>
      <c r="F23034">
        <v>0</v>
      </c>
      <c r="G23034">
        <v>0</v>
      </c>
      <c r="I23034">
        <v>0</v>
      </c>
      <c r="J23034">
        <v>0</v>
      </c>
      <c r="L23034">
        <v>0</v>
      </c>
      <c r="N23034">
        <v>0</v>
      </c>
      <c r="P23034">
        <v>0</v>
      </c>
      <c r="Q23034">
        <v>0</v>
      </c>
      <c r="S23034">
        <v>0</v>
      </c>
    </row>
    <row r="23035" spans="1:19" x14ac:dyDescent="0.3">
      <c r="A23035" t="str">
        <f t="shared" si="23"/>
        <v>PIECEPCIT DCSNov-24</v>
      </c>
      <c r="B23035" s="171" t="s">
        <v>45952</v>
      </c>
      <c r="C23035" s="171" t="s">
        <v>206</v>
      </c>
      <c r="D23035" s="171" t="s">
        <v>15341</v>
      </c>
      <c r="E23035" s="11">
        <v>45597</v>
      </c>
      <c r="F23035">
        <v>0</v>
      </c>
      <c r="G23035">
        <v>0</v>
      </c>
      <c r="I23035">
        <v>0</v>
      </c>
      <c r="J23035">
        <v>0</v>
      </c>
      <c r="L23035">
        <v>0</v>
      </c>
      <c r="N23035">
        <v>0</v>
      </c>
      <c r="P23035">
        <v>0</v>
      </c>
      <c r="Q23035">
        <v>0</v>
      </c>
      <c r="S23035">
        <v>0</v>
      </c>
    </row>
    <row r="23036" spans="1:19" x14ac:dyDescent="0.3">
      <c r="A23036" t="str">
        <f t="shared" si="23"/>
        <v>Community ConnectionsPCIT DCSNov-24</v>
      </c>
      <c r="B23036" s="171" t="s">
        <v>45953</v>
      </c>
      <c r="C23036" s="171" t="s">
        <v>16544</v>
      </c>
      <c r="D23036" s="171" t="s">
        <v>15341</v>
      </c>
      <c r="E23036" s="11">
        <v>45597</v>
      </c>
      <c r="F23036">
        <v>0</v>
      </c>
      <c r="G23036">
        <v>0</v>
      </c>
      <c r="I23036">
        <v>0</v>
      </c>
      <c r="J23036">
        <v>0</v>
      </c>
      <c r="L23036">
        <v>0</v>
      </c>
      <c r="N23036">
        <v>0</v>
      </c>
      <c r="P23036">
        <v>0</v>
      </c>
      <c r="Q23036">
        <v>0</v>
      </c>
      <c r="S23036">
        <v>0</v>
      </c>
    </row>
    <row r="23037" spans="1:19" x14ac:dyDescent="0.3">
      <c r="A23037" t="str">
        <f t="shared" si="23"/>
        <v>Community ConnectionsPCIT FFNov-24</v>
      </c>
      <c r="B23037" s="171" t="s">
        <v>45954</v>
      </c>
      <c r="C23037" s="171" t="s">
        <v>16544</v>
      </c>
      <c r="D23037" s="171" t="s">
        <v>80</v>
      </c>
      <c r="E23037" s="11">
        <v>45597</v>
      </c>
      <c r="F23037">
        <v>0</v>
      </c>
      <c r="G23037">
        <v>0</v>
      </c>
      <c r="I23037">
        <v>0</v>
      </c>
      <c r="J23037">
        <v>0</v>
      </c>
      <c r="L23037">
        <v>0</v>
      </c>
      <c r="N23037">
        <v>0</v>
      </c>
      <c r="P23037">
        <v>0</v>
      </c>
      <c r="Q23037">
        <v>0</v>
      </c>
      <c r="S23037">
        <v>0</v>
      </c>
    </row>
    <row r="23038" spans="1:19" x14ac:dyDescent="0.3">
      <c r="A23038" t="str">
        <f t="shared" si="23"/>
        <v>Medstar GeorgetownPCIT DCSNov-24</v>
      </c>
      <c r="B23038" s="171" t="s">
        <v>45955</v>
      </c>
      <c r="C23038" s="171" t="s">
        <v>24315</v>
      </c>
      <c r="D23038" s="171" t="s">
        <v>15341</v>
      </c>
      <c r="E23038" s="11">
        <v>45597</v>
      </c>
      <c r="F23038">
        <v>0</v>
      </c>
      <c r="G23038">
        <v>0</v>
      </c>
      <c r="I23038">
        <v>0</v>
      </c>
      <c r="J23038">
        <v>0</v>
      </c>
      <c r="L23038">
        <v>0</v>
      </c>
      <c r="N23038">
        <v>0</v>
      </c>
      <c r="P23038">
        <v>0</v>
      </c>
      <c r="Q23038">
        <v>0</v>
      </c>
      <c r="S23038">
        <v>0</v>
      </c>
    </row>
    <row r="23039" spans="1:19" x14ac:dyDescent="0.3">
      <c r="A23039" t="str">
        <f t="shared" si="23"/>
        <v>Medstar GeorgetownPCIT FFNov-24</v>
      </c>
      <c r="B23039" s="171" t="s">
        <v>45956</v>
      </c>
      <c r="C23039" s="171" t="s">
        <v>24315</v>
      </c>
      <c r="D23039" s="171" t="s">
        <v>80</v>
      </c>
      <c r="E23039" s="11">
        <v>45597</v>
      </c>
      <c r="F23039">
        <v>0</v>
      </c>
      <c r="G23039">
        <v>0</v>
      </c>
      <c r="I23039">
        <v>0</v>
      </c>
      <c r="J23039">
        <v>0</v>
      </c>
      <c r="L23039">
        <v>0</v>
      </c>
      <c r="N23039">
        <v>0</v>
      </c>
      <c r="P23039">
        <v>0</v>
      </c>
      <c r="Q23039">
        <v>0</v>
      </c>
      <c r="S23039">
        <v>0</v>
      </c>
    </row>
    <row r="23040" spans="1:19" x14ac:dyDescent="0.3">
      <c r="A23040" t="str">
        <f t="shared" si="23"/>
        <v>Marys CenterPCIT-T FFNov-24</v>
      </c>
      <c r="B23040" s="171" t="s">
        <v>45957</v>
      </c>
      <c r="C23040" s="171" t="s">
        <v>34833</v>
      </c>
      <c r="D23040" s="171" t="s">
        <v>80</v>
      </c>
      <c r="E23040" s="11">
        <v>45597</v>
      </c>
      <c r="F23040">
        <v>1.5</v>
      </c>
      <c r="G23040">
        <v>2</v>
      </c>
      <c r="I23040">
        <v>0</v>
      </c>
      <c r="J23040">
        <v>9</v>
      </c>
      <c r="L23040">
        <v>11</v>
      </c>
      <c r="N23040">
        <v>0</v>
      </c>
      <c r="P23040">
        <v>0</v>
      </c>
      <c r="Q23040">
        <v>1</v>
      </c>
      <c r="S23040">
        <v>0</v>
      </c>
    </row>
    <row r="23041" spans="1:19" x14ac:dyDescent="0.3">
      <c r="A23041" t="str">
        <f t="shared" si="23"/>
        <v>PIECEPCIT-T FFNov-24</v>
      </c>
      <c r="B23041" s="171" t="s">
        <v>45958</v>
      </c>
      <c r="C23041" s="171" t="s">
        <v>34836</v>
      </c>
      <c r="D23041" s="171" t="s">
        <v>80</v>
      </c>
      <c r="E23041" s="11">
        <v>45597</v>
      </c>
      <c r="F23041">
        <v>1.5</v>
      </c>
      <c r="G23041">
        <v>1.5</v>
      </c>
      <c r="I23041">
        <v>2</v>
      </c>
      <c r="J23041">
        <v>7</v>
      </c>
      <c r="L23041">
        <v>7</v>
      </c>
      <c r="N23041">
        <v>2</v>
      </c>
      <c r="P23041">
        <v>0</v>
      </c>
      <c r="Q23041">
        <v>0</v>
      </c>
      <c r="S23041">
        <v>0</v>
      </c>
    </row>
    <row r="23042" spans="1:19" x14ac:dyDescent="0.3">
      <c r="A23042" t="str">
        <f t="shared" si="23"/>
        <v>Community ConnectionsTF-CBT FFNov-24</v>
      </c>
      <c r="B23042" s="171" t="s">
        <v>45959</v>
      </c>
      <c r="C23042" s="171" t="s">
        <v>113</v>
      </c>
      <c r="D23042" s="171" t="s">
        <v>80</v>
      </c>
      <c r="E23042" s="11">
        <v>45597</v>
      </c>
      <c r="F23042">
        <v>0</v>
      </c>
      <c r="G23042">
        <v>0</v>
      </c>
      <c r="I23042">
        <v>0</v>
      </c>
      <c r="J23042">
        <v>0</v>
      </c>
      <c r="L23042">
        <v>0</v>
      </c>
      <c r="N23042">
        <v>0</v>
      </c>
      <c r="P23042">
        <v>0</v>
      </c>
      <c r="Q23042">
        <v>0</v>
      </c>
      <c r="S23042">
        <v>0</v>
      </c>
    </row>
    <row r="23043" spans="1:19" x14ac:dyDescent="0.3">
      <c r="A23043" t="str">
        <f t="shared" si="23"/>
        <v>First Home CareTF-CBT FFNov-24</v>
      </c>
      <c r="B23043" s="171" t="s">
        <v>45960</v>
      </c>
      <c r="C23043" s="171" t="s">
        <v>131</v>
      </c>
      <c r="D23043" s="171" t="s">
        <v>80</v>
      </c>
      <c r="E23043" s="11">
        <v>45597</v>
      </c>
      <c r="F23043">
        <v>0</v>
      </c>
      <c r="G23043">
        <v>0</v>
      </c>
      <c r="I23043">
        <v>0</v>
      </c>
      <c r="J23043">
        <v>0</v>
      </c>
      <c r="L23043">
        <v>0</v>
      </c>
      <c r="N23043">
        <v>0</v>
      </c>
      <c r="P23043">
        <v>0</v>
      </c>
      <c r="Q23043">
        <v>0</v>
      </c>
      <c r="S23043">
        <v>0</v>
      </c>
    </row>
    <row r="23044" spans="1:19" x14ac:dyDescent="0.3">
      <c r="A23044" t="str">
        <f t="shared" si="23"/>
        <v>Foundations for Home &amp; CommunityTF-CBT FFNov-24</v>
      </c>
      <c r="B23044" s="171" t="s">
        <v>45961</v>
      </c>
      <c r="C23044" s="171" t="s">
        <v>14843</v>
      </c>
      <c r="D23044" s="171" t="s">
        <v>80</v>
      </c>
      <c r="E23044" s="11">
        <v>45597</v>
      </c>
      <c r="F23044">
        <v>0</v>
      </c>
      <c r="G23044">
        <v>0</v>
      </c>
      <c r="I23044">
        <v>0</v>
      </c>
      <c r="J23044">
        <v>0</v>
      </c>
      <c r="L23044">
        <v>0</v>
      </c>
      <c r="N23044">
        <v>0</v>
      </c>
      <c r="P23044">
        <v>0</v>
      </c>
      <c r="Q23044">
        <v>0</v>
      </c>
      <c r="S23044">
        <v>0</v>
      </c>
    </row>
    <row r="23045" spans="1:19" x14ac:dyDescent="0.3">
      <c r="A23045" t="str">
        <f t="shared" si="23"/>
        <v>HillcrestTF-CBT FFNov-24</v>
      </c>
      <c r="B23045" s="171" t="s">
        <v>45962</v>
      </c>
      <c r="C23045" s="171" t="s">
        <v>155</v>
      </c>
      <c r="D23045" s="171" t="s">
        <v>80</v>
      </c>
      <c r="E23045" s="11">
        <v>45597</v>
      </c>
      <c r="F23045">
        <v>4</v>
      </c>
      <c r="G23045">
        <v>6</v>
      </c>
      <c r="I23045">
        <v>13</v>
      </c>
      <c r="J23045">
        <v>23</v>
      </c>
      <c r="L23045">
        <v>31</v>
      </c>
      <c r="N23045">
        <v>8</v>
      </c>
      <c r="P23045">
        <v>0</v>
      </c>
      <c r="Q23045">
        <v>0</v>
      </c>
      <c r="S23045">
        <v>5</v>
      </c>
    </row>
    <row r="23046" spans="1:19" x14ac:dyDescent="0.3">
      <c r="A23046" t="str">
        <f t="shared" si="23"/>
        <v>LAYCTF-CBT FFNov-24</v>
      </c>
      <c r="B23046" s="171" t="s">
        <v>45963</v>
      </c>
      <c r="C23046" s="171" t="s">
        <v>16232</v>
      </c>
      <c r="D23046" s="171" t="s">
        <v>80</v>
      </c>
      <c r="E23046" s="11">
        <v>45597</v>
      </c>
      <c r="F23046">
        <v>2.5</v>
      </c>
      <c r="G23046">
        <v>3.5</v>
      </c>
      <c r="I23046">
        <v>8</v>
      </c>
      <c r="J23046">
        <v>15</v>
      </c>
      <c r="L23046">
        <v>21</v>
      </c>
      <c r="N23046">
        <v>7</v>
      </c>
      <c r="P23046">
        <v>0</v>
      </c>
      <c r="Q23046">
        <v>0</v>
      </c>
      <c r="S23046">
        <v>1</v>
      </c>
    </row>
    <row r="23047" spans="1:19" x14ac:dyDescent="0.3">
      <c r="A23047" t="str">
        <f t="shared" si="23"/>
        <v>LESTF-CBT FFNov-24</v>
      </c>
      <c r="B23047" s="171" t="s">
        <v>45964</v>
      </c>
      <c r="C23047" s="171" t="s">
        <v>16557</v>
      </c>
      <c r="D23047" s="171" t="s">
        <v>80</v>
      </c>
      <c r="E23047" s="11">
        <v>45597</v>
      </c>
      <c r="F23047">
        <v>0</v>
      </c>
      <c r="G23047">
        <v>0</v>
      </c>
      <c r="I23047">
        <v>0</v>
      </c>
      <c r="J23047">
        <v>0</v>
      </c>
      <c r="L23047">
        <v>0</v>
      </c>
      <c r="N23047">
        <v>0</v>
      </c>
      <c r="P23047">
        <v>0</v>
      </c>
      <c r="Q23047">
        <v>0</v>
      </c>
      <c r="S23047">
        <v>0</v>
      </c>
    </row>
    <row r="23048" spans="1:19" x14ac:dyDescent="0.3">
      <c r="A23048" t="str">
        <f t="shared" si="23"/>
        <v>MD Family ResourcesTF-CBT FFNov-24</v>
      </c>
      <c r="B23048" s="171" t="s">
        <v>45965</v>
      </c>
      <c r="C23048" s="171" t="s">
        <v>188</v>
      </c>
      <c r="D23048" s="171" t="s">
        <v>80</v>
      </c>
      <c r="E23048" s="11">
        <v>45597</v>
      </c>
      <c r="F23048">
        <v>1</v>
      </c>
      <c r="G23048">
        <v>3.5</v>
      </c>
      <c r="I23048">
        <v>3</v>
      </c>
      <c r="J23048">
        <v>5</v>
      </c>
      <c r="L23048">
        <v>20</v>
      </c>
      <c r="N23048">
        <v>3</v>
      </c>
      <c r="P23048">
        <v>0</v>
      </c>
      <c r="Q23048">
        <v>0</v>
      </c>
      <c r="S23048">
        <v>0</v>
      </c>
    </row>
    <row r="23049" spans="1:19" x14ac:dyDescent="0.3">
      <c r="A23049" t="str">
        <f t="shared" si="23"/>
        <v>UniversalTF-CBT FFNov-24</v>
      </c>
      <c r="B23049" s="171" t="s">
        <v>45966</v>
      </c>
      <c r="C23049" s="171" t="s">
        <v>227</v>
      </c>
      <c r="D23049" s="171" t="s">
        <v>80</v>
      </c>
      <c r="E23049" s="11">
        <v>45597</v>
      </c>
      <c r="F23049">
        <v>0</v>
      </c>
      <c r="G23049">
        <v>0</v>
      </c>
      <c r="I23049">
        <v>0</v>
      </c>
      <c r="J23049">
        <v>0</v>
      </c>
      <c r="L23049">
        <v>0</v>
      </c>
      <c r="N23049">
        <v>0</v>
      </c>
      <c r="P23049">
        <v>0</v>
      </c>
      <c r="Q23049">
        <v>0</v>
      </c>
      <c r="S23049">
        <v>0</v>
      </c>
    </row>
    <row r="23050" spans="1:19" x14ac:dyDescent="0.3">
      <c r="A23050" t="str">
        <f t="shared" si="23"/>
        <v>Community ConnectionsTIP FFNov-24</v>
      </c>
      <c r="B23050" s="171" t="s">
        <v>45967</v>
      </c>
      <c r="C23050" s="171" t="s">
        <v>116</v>
      </c>
      <c r="D23050" s="171" t="s">
        <v>80</v>
      </c>
      <c r="E23050" s="11">
        <v>45597</v>
      </c>
      <c r="F23050">
        <v>0</v>
      </c>
      <c r="G23050">
        <v>0</v>
      </c>
      <c r="I23050">
        <v>0</v>
      </c>
      <c r="J23050">
        <v>0</v>
      </c>
      <c r="L23050">
        <v>0</v>
      </c>
      <c r="N23050">
        <v>0</v>
      </c>
      <c r="P23050">
        <v>0</v>
      </c>
      <c r="Q23050">
        <v>0</v>
      </c>
      <c r="S23050">
        <v>0</v>
      </c>
    </row>
    <row r="23051" spans="1:19" x14ac:dyDescent="0.3">
      <c r="A23051" t="str">
        <f t="shared" si="23"/>
        <v>ContemporaryTIP FFNov-24</v>
      </c>
      <c r="B23051" s="171" t="s">
        <v>45968</v>
      </c>
      <c r="C23051" s="171" t="s">
        <v>9862</v>
      </c>
      <c r="D23051" s="171" t="s">
        <v>80</v>
      </c>
      <c r="E23051" s="11">
        <v>45597</v>
      </c>
      <c r="F23051">
        <v>0</v>
      </c>
      <c r="G23051">
        <v>0</v>
      </c>
      <c r="I23051">
        <v>0</v>
      </c>
      <c r="J23051">
        <v>0</v>
      </c>
      <c r="L23051">
        <v>0</v>
      </c>
      <c r="N23051">
        <v>0</v>
      </c>
      <c r="P23051">
        <v>0</v>
      </c>
      <c r="Q23051">
        <v>0</v>
      </c>
      <c r="S23051">
        <v>0</v>
      </c>
    </row>
    <row r="23052" spans="1:19" x14ac:dyDescent="0.3">
      <c r="A23052" t="str">
        <f t="shared" si="23"/>
        <v>FPSTIP FFNov-24</v>
      </c>
      <c r="B23052" s="171" t="s">
        <v>45969</v>
      </c>
      <c r="C23052" s="171" t="s">
        <v>140</v>
      </c>
      <c r="D23052" s="171" t="s">
        <v>80</v>
      </c>
      <c r="E23052" s="11">
        <v>45597</v>
      </c>
      <c r="F23052">
        <v>0</v>
      </c>
      <c r="G23052">
        <v>0</v>
      </c>
      <c r="I23052">
        <v>0</v>
      </c>
      <c r="J23052">
        <v>0</v>
      </c>
      <c r="L23052">
        <v>0</v>
      </c>
      <c r="N23052">
        <v>0</v>
      </c>
      <c r="P23052">
        <v>0</v>
      </c>
      <c r="Q23052">
        <v>0</v>
      </c>
      <c r="S23052">
        <v>0</v>
      </c>
    </row>
    <row r="23053" spans="1:19" x14ac:dyDescent="0.3">
      <c r="A23053" t="str">
        <f t="shared" si="23"/>
        <v>Green DoorTIP FFNov-24</v>
      </c>
      <c r="B23053" s="171" t="s">
        <v>45970</v>
      </c>
      <c r="C23053" s="171" t="s">
        <v>8590</v>
      </c>
      <c r="D23053" s="171" t="s">
        <v>80</v>
      </c>
      <c r="E23053" s="11">
        <v>45597</v>
      </c>
      <c r="F23053">
        <v>0</v>
      </c>
      <c r="G23053">
        <v>0</v>
      </c>
      <c r="I23053">
        <v>0</v>
      </c>
      <c r="J23053">
        <v>0</v>
      </c>
      <c r="L23053">
        <v>0</v>
      </c>
      <c r="N23053">
        <v>0</v>
      </c>
      <c r="P23053">
        <v>0</v>
      </c>
      <c r="Q23053">
        <v>0</v>
      </c>
      <c r="S23053">
        <v>0</v>
      </c>
    </row>
    <row r="23054" spans="1:19" x14ac:dyDescent="0.3">
      <c r="A23054" t="str">
        <f t="shared" si="23"/>
        <v>LESTIP FFNov-24</v>
      </c>
      <c r="B23054" s="171" t="s">
        <v>45971</v>
      </c>
      <c r="C23054" s="171" t="s">
        <v>170</v>
      </c>
      <c r="D23054" s="171" t="s">
        <v>80</v>
      </c>
      <c r="E23054" s="11">
        <v>45597</v>
      </c>
      <c r="F23054">
        <v>2.5</v>
      </c>
      <c r="G23054">
        <v>2.5</v>
      </c>
      <c r="I23054">
        <v>11</v>
      </c>
      <c r="J23054">
        <v>35</v>
      </c>
      <c r="L23054">
        <v>35</v>
      </c>
      <c r="N23054">
        <v>11</v>
      </c>
      <c r="P23054">
        <v>1</v>
      </c>
      <c r="Q23054">
        <v>1</v>
      </c>
      <c r="S23054">
        <v>0</v>
      </c>
    </row>
    <row r="23055" spans="1:19" x14ac:dyDescent="0.3">
      <c r="A23055" t="str">
        <f t="shared" si="23"/>
        <v>MBI HSTIP FFNov-24</v>
      </c>
      <c r="B23055" s="171" t="s">
        <v>45972</v>
      </c>
      <c r="C23055" s="171" t="s">
        <v>182</v>
      </c>
      <c r="D23055" s="171" t="s">
        <v>80</v>
      </c>
      <c r="E23055" s="11">
        <v>45597</v>
      </c>
      <c r="F23055">
        <v>7</v>
      </c>
      <c r="G23055">
        <v>9</v>
      </c>
      <c r="I23055">
        <v>42</v>
      </c>
      <c r="J23055">
        <v>80</v>
      </c>
      <c r="L23055">
        <v>102</v>
      </c>
      <c r="N23055">
        <v>42</v>
      </c>
      <c r="P23055">
        <v>1</v>
      </c>
      <c r="Q23055">
        <v>1</v>
      </c>
      <c r="S23055">
        <v>0</v>
      </c>
    </row>
    <row r="23056" spans="1:19" x14ac:dyDescent="0.3">
      <c r="A23056" t="str">
        <f t="shared" si="23"/>
        <v>PASSTIP FFNov-24</v>
      </c>
      <c r="B23056" s="171" t="s">
        <v>45973</v>
      </c>
      <c r="C23056" s="171" t="s">
        <v>197</v>
      </c>
      <c r="D23056" s="171" t="s">
        <v>80</v>
      </c>
      <c r="E23056" s="11">
        <v>45597</v>
      </c>
      <c r="F23056">
        <v>8</v>
      </c>
      <c r="G23056">
        <v>8</v>
      </c>
      <c r="I23056">
        <v>57</v>
      </c>
      <c r="J23056">
        <v>80</v>
      </c>
      <c r="L23056">
        <v>80</v>
      </c>
      <c r="N23056">
        <v>49</v>
      </c>
      <c r="P23056">
        <v>13</v>
      </c>
      <c r="Q23056">
        <v>15</v>
      </c>
      <c r="S23056">
        <v>8</v>
      </c>
    </row>
    <row r="23057" spans="1:19" x14ac:dyDescent="0.3">
      <c r="A23057" t="str">
        <f t="shared" si="23"/>
        <v>TFCCTIP FFNov-24</v>
      </c>
      <c r="B23057" s="171" t="s">
        <v>45974</v>
      </c>
      <c r="C23057" s="171" t="s">
        <v>218</v>
      </c>
      <c r="D23057" s="171" t="s">
        <v>80</v>
      </c>
      <c r="E23057" s="11">
        <v>45597</v>
      </c>
      <c r="F23057">
        <v>0</v>
      </c>
      <c r="G23057">
        <v>0</v>
      </c>
      <c r="I23057">
        <v>0</v>
      </c>
      <c r="J23057">
        <v>0</v>
      </c>
      <c r="L23057">
        <v>0</v>
      </c>
      <c r="N23057">
        <v>0</v>
      </c>
      <c r="P23057">
        <v>0</v>
      </c>
      <c r="Q23057">
        <v>0</v>
      </c>
      <c r="S23057">
        <v>0</v>
      </c>
    </row>
    <row r="23058" spans="1:19" x14ac:dyDescent="0.3">
      <c r="A23058" t="str">
        <f t="shared" si="23"/>
        <v>UmbrellaTIP FFNov-24</v>
      </c>
      <c r="B23058" s="171" t="s">
        <v>45975</v>
      </c>
      <c r="C23058" s="171" t="s">
        <v>34871</v>
      </c>
      <c r="D23058" s="171" t="s">
        <v>80</v>
      </c>
      <c r="E23058" s="11">
        <v>45597</v>
      </c>
      <c r="F23058">
        <v>6</v>
      </c>
      <c r="G23058">
        <v>6</v>
      </c>
      <c r="I23058">
        <v>33</v>
      </c>
      <c r="J23058">
        <v>66</v>
      </c>
      <c r="L23058">
        <v>66</v>
      </c>
      <c r="N23058">
        <v>33</v>
      </c>
      <c r="P23058">
        <v>0</v>
      </c>
      <c r="Q23058">
        <v>0</v>
      </c>
      <c r="S23058">
        <v>0</v>
      </c>
    </row>
    <row r="23059" spans="1:19" x14ac:dyDescent="0.3">
      <c r="A23059" t="str">
        <f t="shared" si="23"/>
        <v>UniversalTIP FFNov-24</v>
      </c>
      <c r="B23059" s="171" t="s">
        <v>45976</v>
      </c>
      <c r="C23059" s="171" t="s">
        <v>230</v>
      </c>
      <c r="D23059" s="171" t="s">
        <v>80</v>
      </c>
      <c r="E23059" s="11">
        <v>45597</v>
      </c>
      <c r="F23059">
        <v>0</v>
      </c>
      <c r="G23059">
        <v>0</v>
      </c>
      <c r="I23059">
        <v>0</v>
      </c>
      <c r="J23059">
        <v>0</v>
      </c>
      <c r="L23059">
        <v>0</v>
      </c>
      <c r="N23059">
        <v>0</v>
      </c>
      <c r="P23059">
        <v>0</v>
      </c>
      <c r="Q23059">
        <v>0</v>
      </c>
      <c r="S23059">
        <v>0</v>
      </c>
    </row>
    <row r="23060" spans="1:19" x14ac:dyDescent="0.3">
      <c r="A23060" t="str">
        <f t="shared" si="23"/>
        <v>Wayne PlaceTIP FFNov-24</v>
      </c>
      <c r="B23060" s="171" t="s">
        <v>45977</v>
      </c>
      <c r="C23060" s="171" t="s">
        <v>8193</v>
      </c>
      <c r="D23060" s="171" t="s">
        <v>80</v>
      </c>
      <c r="E23060" s="11">
        <v>45597</v>
      </c>
      <c r="F23060">
        <v>2</v>
      </c>
      <c r="G23060">
        <v>3</v>
      </c>
      <c r="I23060">
        <v>8</v>
      </c>
      <c r="J23060">
        <v>22</v>
      </c>
      <c r="L23060">
        <v>33</v>
      </c>
      <c r="N23060">
        <v>8</v>
      </c>
      <c r="P23060">
        <v>0</v>
      </c>
      <c r="Q23060">
        <v>2</v>
      </c>
      <c r="S23060">
        <v>0</v>
      </c>
    </row>
    <row r="23061" spans="1:19" x14ac:dyDescent="0.3">
      <c r="A23061" t="str">
        <f t="shared" si="23"/>
        <v>Adoptions TogetherTST FFNov-24</v>
      </c>
      <c r="B23061" s="171" t="s">
        <v>45978</v>
      </c>
      <c r="C23061" s="171" t="s">
        <v>10522</v>
      </c>
      <c r="D23061" s="171" t="s">
        <v>80</v>
      </c>
      <c r="E23061" s="11">
        <v>45597</v>
      </c>
      <c r="F23061">
        <v>0</v>
      </c>
      <c r="G23061">
        <v>0</v>
      </c>
      <c r="I23061">
        <v>0</v>
      </c>
      <c r="J23061">
        <v>0</v>
      </c>
      <c r="L23061">
        <v>0</v>
      </c>
      <c r="N23061">
        <v>0</v>
      </c>
      <c r="P23061">
        <v>0</v>
      </c>
      <c r="Q23061">
        <v>0</v>
      </c>
      <c r="S23061">
        <v>0</v>
      </c>
    </row>
    <row r="23062" spans="1:19" x14ac:dyDescent="0.3">
      <c r="A23062" t="str">
        <f t="shared" ref="A23062:A23125" si="24">C23062&amp;" "&amp;D23062&amp;"Nov-24"</f>
        <v>ContemporaryTST FFNov-24</v>
      </c>
      <c r="B23062" s="171" t="s">
        <v>45979</v>
      </c>
      <c r="C23062" s="171" t="s">
        <v>10525</v>
      </c>
      <c r="D23062" s="171" t="s">
        <v>80</v>
      </c>
      <c r="E23062" s="11">
        <v>45597</v>
      </c>
      <c r="F23062">
        <v>0</v>
      </c>
      <c r="G23062">
        <v>0</v>
      </c>
      <c r="I23062">
        <v>0</v>
      </c>
      <c r="J23062">
        <v>0</v>
      </c>
      <c r="L23062">
        <v>0</v>
      </c>
      <c r="N23062">
        <v>0</v>
      </c>
      <c r="P23062">
        <v>0</v>
      </c>
      <c r="Q23062">
        <v>0</v>
      </c>
      <c r="S23062">
        <v>0</v>
      </c>
    </row>
    <row r="23063" spans="1:19" x14ac:dyDescent="0.3">
      <c r="A23063" t="str">
        <f t="shared" si="24"/>
        <v>Family MattersTST FFNov-24</v>
      </c>
      <c r="B23063" s="171" t="s">
        <v>45980</v>
      </c>
      <c r="C23063" s="171" t="s">
        <v>10528</v>
      </c>
      <c r="D23063" s="171" t="s">
        <v>80</v>
      </c>
      <c r="E23063" s="11">
        <v>45597</v>
      </c>
      <c r="F23063">
        <v>0</v>
      </c>
      <c r="G23063">
        <v>0</v>
      </c>
      <c r="I23063">
        <v>0</v>
      </c>
      <c r="J23063">
        <v>0</v>
      </c>
      <c r="L23063">
        <v>0</v>
      </c>
      <c r="N23063">
        <v>0</v>
      </c>
      <c r="P23063">
        <v>0</v>
      </c>
      <c r="Q23063">
        <v>0</v>
      </c>
      <c r="S23063">
        <v>0</v>
      </c>
    </row>
    <row r="23064" spans="1:19" x14ac:dyDescent="0.3">
      <c r="A23064" t="str">
        <f t="shared" si="24"/>
        <v>First Home CareTST FFNov-24</v>
      </c>
      <c r="B23064" s="171" t="s">
        <v>45981</v>
      </c>
      <c r="C23064" s="171" t="s">
        <v>10531</v>
      </c>
      <c r="D23064" s="171" t="s">
        <v>80</v>
      </c>
      <c r="E23064" s="11">
        <v>45597</v>
      </c>
      <c r="F23064">
        <v>0</v>
      </c>
      <c r="G23064">
        <v>0</v>
      </c>
      <c r="I23064">
        <v>0</v>
      </c>
      <c r="J23064">
        <v>0</v>
      </c>
      <c r="L23064">
        <v>0</v>
      </c>
      <c r="N23064">
        <v>0</v>
      </c>
      <c r="P23064">
        <v>0</v>
      </c>
      <c r="Q23064">
        <v>0</v>
      </c>
      <c r="S23064">
        <v>0</v>
      </c>
    </row>
    <row r="23065" spans="1:19" x14ac:dyDescent="0.3">
      <c r="A23065" t="str">
        <f t="shared" si="24"/>
        <v>Foundations for Home &amp; CommunityTST FFNov-24</v>
      </c>
      <c r="B23065" s="171" t="s">
        <v>45982</v>
      </c>
      <c r="C23065" s="171" t="s">
        <v>14880</v>
      </c>
      <c r="D23065" s="171" t="s">
        <v>80</v>
      </c>
      <c r="E23065" s="11">
        <v>45597</v>
      </c>
      <c r="F23065">
        <v>0</v>
      </c>
      <c r="G23065">
        <v>0</v>
      </c>
      <c r="I23065">
        <v>0</v>
      </c>
      <c r="J23065">
        <v>0</v>
      </c>
      <c r="L23065">
        <v>0</v>
      </c>
      <c r="N23065">
        <v>0</v>
      </c>
      <c r="P23065">
        <v>0</v>
      </c>
      <c r="Q23065">
        <v>0</v>
      </c>
      <c r="S23065">
        <v>0</v>
      </c>
    </row>
    <row r="23066" spans="1:19" x14ac:dyDescent="0.3">
      <c r="A23066" t="str">
        <f t="shared" si="24"/>
        <v>HillcrestTST FFNov-24</v>
      </c>
      <c r="B23066" s="171" t="s">
        <v>45983</v>
      </c>
      <c r="C23066" s="171" t="s">
        <v>10534</v>
      </c>
      <c r="D23066" s="171" t="s">
        <v>80</v>
      </c>
      <c r="E23066" s="11">
        <v>45597</v>
      </c>
      <c r="F23066">
        <v>1</v>
      </c>
      <c r="G23066">
        <v>1.5</v>
      </c>
      <c r="I23066">
        <v>4</v>
      </c>
      <c r="J23066">
        <v>5</v>
      </c>
      <c r="L23066">
        <v>8</v>
      </c>
      <c r="N23066">
        <v>4</v>
      </c>
      <c r="P23066">
        <v>0</v>
      </c>
      <c r="Q23066">
        <v>0</v>
      </c>
      <c r="S23066">
        <v>0</v>
      </c>
    </row>
    <row r="23067" spans="1:19" x14ac:dyDescent="0.3">
      <c r="A23067" t="str">
        <f t="shared" si="24"/>
        <v>MD Family ResourcesTST FFNov-24</v>
      </c>
      <c r="B23067" s="171" t="s">
        <v>45984</v>
      </c>
      <c r="C23067" s="171" t="s">
        <v>10537</v>
      </c>
      <c r="D23067" s="171" t="s">
        <v>80</v>
      </c>
      <c r="E23067" s="11">
        <v>45597</v>
      </c>
      <c r="F23067">
        <v>0</v>
      </c>
      <c r="G23067">
        <v>1</v>
      </c>
      <c r="I23067">
        <v>0</v>
      </c>
      <c r="J23067">
        <v>0</v>
      </c>
      <c r="L23067">
        <v>6</v>
      </c>
      <c r="N23067">
        <v>0</v>
      </c>
      <c r="P23067">
        <v>0</v>
      </c>
      <c r="Q23067">
        <v>0</v>
      </c>
      <c r="S23067">
        <v>0</v>
      </c>
    </row>
    <row r="23068" spans="1:19" x14ac:dyDescent="0.3">
      <c r="A23068" t="str">
        <f t="shared" si="24"/>
        <v>DBH Parent SupportABC CombinedNov-24</v>
      </c>
      <c r="B23068" s="171" t="s">
        <v>45985</v>
      </c>
      <c r="C23068" s="171" t="s">
        <v>34754</v>
      </c>
      <c r="D23068" s="171" t="s">
        <v>4</v>
      </c>
      <c r="E23068" s="11">
        <v>45597</v>
      </c>
      <c r="F23068">
        <v>0</v>
      </c>
      <c r="G23068">
        <v>0</v>
      </c>
      <c r="I23068">
        <v>0</v>
      </c>
      <c r="J23068">
        <v>0</v>
      </c>
      <c r="L23068">
        <v>0</v>
      </c>
      <c r="N23068">
        <v>0</v>
      </c>
      <c r="P23068">
        <v>0</v>
      </c>
      <c r="Q23068">
        <v>0</v>
      </c>
      <c r="S23068">
        <v>0</v>
      </c>
    </row>
    <row r="23069" spans="1:19" x14ac:dyDescent="0.3">
      <c r="A23069" t="str">
        <f t="shared" si="24"/>
        <v>Healthy FuturesABC CombinedNov-24</v>
      </c>
      <c r="B23069" s="171" t="s">
        <v>45986</v>
      </c>
      <c r="C23069" s="171" t="s">
        <v>34757</v>
      </c>
      <c r="D23069" s="171" t="s">
        <v>4</v>
      </c>
      <c r="E23069" s="11">
        <v>45597</v>
      </c>
      <c r="F23069">
        <v>0</v>
      </c>
      <c r="G23069">
        <v>0</v>
      </c>
      <c r="I23069">
        <v>0</v>
      </c>
      <c r="J23069">
        <v>0</v>
      </c>
      <c r="L23069">
        <v>0</v>
      </c>
      <c r="N23069">
        <v>0</v>
      </c>
      <c r="P23069">
        <v>0</v>
      </c>
      <c r="Q23069">
        <v>0</v>
      </c>
      <c r="S23069">
        <v>0</v>
      </c>
    </row>
    <row r="23070" spans="1:19" x14ac:dyDescent="0.3">
      <c r="A23070" t="str">
        <f t="shared" si="24"/>
        <v>Marys CenterABC CombinedNov-24</v>
      </c>
      <c r="B23070" s="171" t="s">
        <v>45987</v>
      </c>
      <c r="C23070" s="171" t="s">
        <v>34760</v>
      </c>
      <c r="D23070" s="171" t="s">
        <v>4</v>
      </c>
      <c r="E23070" s="11">
        <v>45597</v>
      </c>
      <c r="F23070">
        <v>0</v>
      </c>
      <c r="G23070">
        <v>0</v>
      </c>
      <c r="I23070">
        <v>0</v>
      </c>
      <c r="J23070">
        <v>0</v>
      </c>
      <c r="L23070">
        <v>0</v>
      </c>
      <c r="N23070">
        <v>0</v>
      </c>
      <c r="P23070">
        <v>0</v>
      </c>
      <c r="Q23070">
        <v>0</v>
      </c>
      <c r="S23070">
        <v>0</v>
      </c>
    </row>
    <row r="23071" spans="1:19" x14ac:dyDescent="0.3">
      <c r="A23071" t="str">
        <f t="shared" si="24"/>
        <v>Medstar GeorgetownABC CombinedNov-24</v>
      </c>
      <c r="B23071" s="171" t="s">
        <v>45988</v>
      </c>
      <c r="C23071" s="171" t="s">
        <v>34763</v>
      </c>
      <c r="D23071" s="171" t="s">
        <v>4</v>
      </c>
      <c r="E23071" s="11">
        <v>45597</v>
      </c>
      <c r="F23071">
        <v>0</v>
      </c>
      <c r="G23071">
        <v>0</v>
      </c>
      <c r="I23071">
        <v>0</v>
      </c>
      <c r="J23071">
        <v>0</v>
      </c>
      <c r="L23071">
        <v>0</v>
      </c>
      <c r="N23071">
        <v>0</v>
      </c>
      <c r="P23071">
        <v>0</v>
      </c>
      <c r="Q23071">
        <v>0</v>
      </c>
      <c r="S23071">
        <v>0</v>
      </c>
    </row>
    <row r="23072" spans="1:19" x14ac:dyDescent="0.3">
      <c r="A23072" t="str">
        <f t="shared" si="24"/>
        <v>PIECEABC CombinedNov-24</v>
      </c>
      <c r="B23072" s="171" t="s">
        <v>45989</v>
      </c>
      <c r="C23072" s="171" t="s">
        <v>34766</v>
      </c>
      <c r="D23072" s="171" t="s">
        <v>4</v>
      </c>
      <c r="E23072" s="11">
        <v>45597</v>
      </c>
      <c r="F23072">
        <v>0</v>
      </c>
      <c r="G23072">
        <v>0</v>
      </c>
      <c r="I23072">
        <v>0</v>
      </c>
      <c r="J23072">
        <v>0</v>
      </c>
      <c r="L23072">
        <v>0</v>
      </c>
      <c r="N23072">
        <v>0</v>
      </c>
      <c r="P23072">
        <v>0</v>
      </c>
      <c r="Q23072">
        <v>0</v>
      </c>
      <c r="S23072">
        <v>0</v>
      </c>
    </row>
    <row r="23073" spans="1:19" x14ac:dyDescent="0.3">
      <c r="A23073" t="str">
        <f t="shared" si="24"/>
        <v>Federal CityA-CRA CombinedNov-24</v>
      </c>
      <c r="B23073" s="171" t="s">
        <v>45990</v>
      </c>
      <c r="C23073" s="171" t="s">
        <v>119</v>
      </c>
      <c r="D23073" s="171" t="s">
        <v>4</v>
      </c>
      <c r="E23073" s="11">
        <v>45597</v>
      </c>
      <c r="F23073">
        <v>0</v>
      </c>
      <c r="G23073">
        <v>0</v>
      </c>
      <c r="I23073">
        <v>0</v>
      </c>
      <c r="J23073">
        <v>0</v>
      </c>
      <c r="L23073">
        <v>0</v>
      </c>
      <c r="N23073">
        <v>0</v>
      </c>
      <c r="P23073">
        <v>0</v>
      </c>
      <c r="Q23073">
        <v>0</v>
      </c>
      <c r="S23073">
        <v>0</v>
      </c>
    </row>
    <row r="23074" spans="1:19" x14ac:dyDescent="0.3">
      <c r="A23074" t="str">
        <f t="shared" si="24"/>
        <v>HillcrestA-CRA CombinedNov-24</v>
      </c>
      <c r="B23074" s="171" t="s">
        <v>45991</v>
      </c>
      <c r="C23074" s="171" t="s">
        <v>143</v>
      </c>
      <c r="D23074" s="171" t="s">
        <v>4</v>
      </c>
      <c r="E23074" s="11">
        <v>45597</v>
      </c>
      <c r="F23074">
        <v>0</v>
      </c>
      <c r="G23074">
        <v>0</v>
      </c>
      <c r="I23074">
        <v>0</v>
      </c>
      <c r="J23074">
        <v>0</v>
      </c>
      <c r="L23074">
        <v>0</v>
      </c>
      <c r="N23074">
        <v>0</v>
      </c>
      <c r="P23074">
        <v>0</v>
      </c>
      <c r="Q23074">
        <v>0</v>
      </c>
      <c r="S23074">
        <v>0</v>
      </c>
    </row>
    <row r="23075" spans="1:19" x14ac:dyDescent="0.3">
      <c r="A23075" t="str">
        <f t="shared" si="24"/>
        <v>LAYCA-CRA CombinedNov-24</v>
      </c>
      <c r="B23075" s="171" t="s">
        <v>45992</v>
      </c>
      <c r="C23075" s="171" t="s">
        <v>158</v>
      </c>
      <c r="D23075" s="171" t="s">
        <v>4</v>
      </c>
      <c r="E23075" s="11">
        <v>45597</v>
      </c>
      <c r="F23075">
        <v>0</v>
      </c>
      <c r="G23075">
        <v>0</v>
      </c>
      <c r="I23075">
        <v>0</v>
      </c>
      <c r="J23075">
        <v>0</v>
      </c>
      <c r="L23075">
        <v>0</v>
      </c>
      <c r="N23075">
        <v>0</v>
      </c>
      <c r="P23075">
        <v>0</v>
      </c>
      <c r="Q23075">
        <v>0</v>
      </c>
      <c r="S23075">
        <v>0</v>
      </c>
    </row>
    <row r="23076" spans="1:19" x14ac:dyDescent="0.3">
      <c r="A23076" t="str">
        <f t="shared" si="24"/>
        <v>RiversideA-CRA CombinedNov-24</v>
      </c>
      <c r="B23076" s="171" t="s">
        <v>45993</v>
      </c>
      <c r="C23076" s="171" t="s">
        <v>209</v>
      </c>
      <c r="D23076" s="171" t="s">
        <v>4</v>
      </c>
      <c r="E23076" s="11">
        <v>45597</v>
      </c>
      <c r="F23076">
        <v>0</v>
      </c>
      <c r="G23076">
        <v>0</v>
      </c>
      <c r="I23076">
        <v>0</v>
      </c>
      <c r="J23076">
        <v>0</v>
      </c>
      <c r="L23076">
        <v>0</v>
      </c>
      <c r="N23076">
        <v>0</v>
      </c>
      <c r="P23076">
        <v>0</v>
      </c>
      <c r="Q23076">
        <v>0</v>
      </c>
      <c r="S23076">
        <v>0</v>
      </c>
    </row>
    <row r="23077" spans="1:19" x14ac:dyDescent="0.3">
      <c r="A23077" t="str">
        <f t="shared" si="24"/>
        <v>Adoptions TogetherCPP-FV CombinedNov-24</v>
      </c>
      <c r="B23077" s="171" t="s">
        <v>45994</v>
      </c>
      <c r="C23077" s="171" t="s">
        <v>76</v>
      </c>
      <c r="D23077" s="171" t="s">
        <v>4</v>
      </c>
      <c r="E23077" s="11">
        <v>45597</v>
      </c>
      <c r="F23077">
        <v>0</v>
      </c>
      <c r="G23077">
        <v>0</v>
      </c>
      <c r="I23077">
        <v>0</v>
      </c>
      <c r="J23077">
        <v>0</v>
      </c>
      <c r="L23077">
        <v>0</v>
      </c>
      <c r="N23077">
        <v>0</v>
      </c>
      <c r="P23077">
        <v>0</v>
      </c>
      <c r="Q23077">
        <v>0</v>
      </c>
      <c r="S23077">
        <v>0</v>
      </c>
    </row>
    <row r="23078" spans="1:19" x14ac:dyDescent="0.3">
      <c r="A23078" t="str">
        <f t="shared" si="24"/>
        <v>Foundations for Home &amp; CommunityCPP-FV CombinedNov-24</v>
      </c>
      <c r="B23078" s="171" t="s">
        <v>45995</v>
      </c>
      <c r="C23078" s="171" t="s">
        <v>15344</v>
      </c>
      <c r="D23078" s="171" t="s">
        <v>4</v>
      </c>
      <c r="E23078" s="11">
        <v>45597</v>
      </c>
      <c r="F23078">
        <v>0</v>
      </c>
      <c r="G23078">
        <v>0</v>
      </c>
      <c r="I23078">
        <v>0</v>
      </c>
      <c r="J23078">
        <v>0</v>
      </c>
      <c r="L23078">
        <v>0</v>
      </c>
      <c r="N23078">
        <v>0</v>
      </c>
      <c r="P23078">
        <v>0</v>
      </c>
      <c r="Q23078">
        <v>0</v>
      </c>
      <c r="S23078">
        <v>0</v>
      </c>
    </row>
    <row r="23079" spans="1:19" x14ac:dyDescent="0.3">
      <c r="A23079" t="str">
        <f t="shared" si="24"/>
        <v>Medstar GeorgetownCPP-FV CombinedNov-24</v>
      </c>
      <c r="B23079" s="171" t="s">
        <v>45996</v>
      </c>
      <c r="C23079" s="171" t="s">
        <v>24281</v>
      </c>
      <c r="D23079" s="171" t="s">
        <v>4</v>
      </c>
      <c r="E23079" s="11">
        <v>45597</v>
      </c>
      <c r="F23079">
        <v>0</v>
      </c>
      <c r="G23079">
        <v>0</v>
      </c>
      <c r="I23079">
        <v>0</v>
      </c>
      <c r="J23079">
        <v>0</v>
      </c>
      <c r="L23079">
        <v>0</v>
      </c>
      <c r="N23079">
        <v>0</v>
      </c>
      <c r="P23079">
        <v>0</v>
      </c>
      <c r="Q23079">
        <v>0</v>
      </c>
      <c r="S23079">
        <v>0</v>
      </c>
    </row>
    <row r="23080" spans="1:19" x14ac:dyDescent="0.3">
      <c r="A23080" t="str">
        <f t="shared" si="24"/>
        <v>Better MorningsFFT CombinedNov-24</v>
      </c>
      <c r="B23080" s="171" t="s">
        <v>45997</v>
      </c>
      <c r="C23080" s="171" t="s">
        <v>24284</v>
      </c>
      <c r="D23080" s="171" t="s">
        <v>4</v>
      </c>
      <c r="E23080" s="11">
        <v>45597</v>
      </c>
      <c r="F23080">
        <v>3</v>
      </c>
      <c r="G23080">
        <v>3</v>
      </c>
      <c r="I23080">
        <v>10</v>
      </c>
      <c r="J23080">
        <v>17</v>
      </c>
      <c r="L23080">
        <v>17</v>
      </c>
      <c r="N23080">
        <v>7</v>
      </c>
      <c r="P23080">
        <v>1</v>
      </c>
      <c r="Q23080">
        <v>1</v>
      </c>
      <c r="S23080">
        <v>3</v>
      </c>
    </row>
    <row r="23081" spans="1:19" x14ac:dyDescent="0.3">
      <c r="A23081" t="str">
        <f t="shared" si="24"/>
        <v>CatholicFFT CombinedNov-24</v>
      </c>
      <c r="B23081" s="171" t="s">
        <v>45998</v>
      </c>
      <c r="C23081" s="171" t="s">
        <v>18126</v>
      </c>
      <c r="D23081" s="171" t="s">
        <v>4</v>
      </c>
      <c r="E23081" s="11">
        <v>45597</v>
      </c>
      <c r="F23081">
        <v>0</v>
      </c>
      <c r="G23081">
        <v>0</v>
      </c>
      <c r="I23081">
        <v>0</v>
      </c>
      <c r="J23081">
        <v>0</v>
      </c>
      <c r="L23081">
        <v>0</v>
      </c>
      <c r="N23081">
        <v>0</v>
      </c>
      <c r="P23081">
        <v>0</v>
      </c>
      <c r="Q23081">
        <v>0</v>
      </c>
      <c r="S23081">
        <v>0</v>
      </c>
    </row>
    <row r="23082" spans="1:19" x14ac:dyDescent="0.3">
      <c r="A23082" t="str">
        <f t="shared" si="24"/>
        <v>First Home CareFFT CombinedNov-24</v>
      </c>
      <c r="B23082" s="171" t="s">
        <v>45999</v>
      </c>
      <c r="C23082" s="171" t="s">
        <v>128</v>
      </c>
      <c r="D23082" s="171" t="s">
        <v>4</v>
      </c>
      <c r="E23082" s="11">
        <v>45597</v>
      </c>
      <c r="F23082">
        <v>0</v>
      </c>
      <c r="G23082">
        <v>0</v>
      </c>
      <c r="I23082">
        <v>0</v>
      </c>
      <c r="J23082">
        <v>0</v>
      </c>
      <c r="L23082">
        <v>0</v>
      </c>
      <c r="N23082">
        <v>0</v>
      </c>
      <c r="P23082">
        <v>0</v>
      </c>
      <c r="Q23082">
        <v>0</v>
      </c>
      <c r="S23082">
        <v>0</v>
      </c>
    </row>
    <row r="23083" spans="1:19" x14ac:dyDescent="0.3">
      <c r="A23083" t="str">
        <f t="shared" si="24"/>
        <v>Foundations for Home &amp; CommunityFFT CombinedNov-24</v>
      </c>
      <c r="B23083" s="171" t="s">
        <v>46000</v>
      </c>
      <c r="C23083" s="171" t="s">
        <v>14824</v>
      </c>
      <c r="D23083" s="171" t="s">
        <v>4</v>
      </c>
      <c r="E23083" s="11">
        <v>45597</v>
      </c>
      <c r="F23083">
        <v>0</v>
      </c>
      <c r="G23083">
        <v>0</v>
      </c>
      <c r="I23083">
        <v>0</v>
      </c>
      <c r="J23083">
        <v>0</v>
      </c>
      <c r="L23083">
        <v>0</v>
      </c>
      <c r="N23083">
        <v>0</v>
      </c>
      <c r="P23083">
        <v>0</v>
      </c>
      <c r="Q23083">
        <v>0</v>
      </c>
      <c r="S23083">
        <v>0</v>
      </c>
    </row>
    <row r="23084" spans="1:19" x14ac:dyDescent="0.3">
      <c r="A23084" t="str">
        <f t="shared" si="24"/>
        <v>HillcrestFFT CombinedNov-24</v>
      </c>
      <c r="B23084" s="171" t="s">
        <v>46001</v>
      </c>
      <c r="C23084" s="171" t="s">
        <v>152</v>
      </c>
      <c r="D23084" s="171" t="s">
        <v>4</v>
      </c>
      <c r="E23084" s="11">
        <v>45597</v>
      </c>
      <c r="F23084">
        <v>0</v>
      </c>
      <c r="G23084">
        <v>0</v>
      </c>
      <c r="I23084">
        <v>0</v>
      </c>
      <c r="J23084">
        <v>0</v>
      </c>
      <c r="L23084">
        <v>0</v>
      </c>
      <c r="N23084">
        <v>0</v>
      </c>
      <c r="P23084">
        <v>0</v>
      </c>
      <c r="Q23084">
        <v>0</v>
      </c>
      <c r="S23084">
        <v>0</v>
      </c>
    </row>
    <row r="23085" spans="1:19" x14ac:dyDescent="0.3">
      <c r="A23085" t="str">
        <f t="shared" si="24"/>
        <v>PASSFFT CombinedNov-24</v>
      </c>
      <c r="B23085" s="171" t="s">
        <v>46002</v>
      </c>
      <c r="C23085" s="171" t="s">
        <v>194</v>
      </c>
      <c r="D23085" s="171" t="s">
        <v>4</v>
      </c>
      <c r="E23085" s="11">
        <v>45597</v>
      </c>
      <c r="F23085">
        <v>2</v>
      </c>
      <c r="G23085">
        <v>5</v>
      </c>
      <c r="I23085">
        <v>12</v>
      </c>
      <c r="J23085">
        <v>12</v>
      </c>
      <c r="L23085">
        <v>27</v>
      </c>
      <c r="N23085">
        <v>11</v>
      </c>
      <c r="P23085">
        <v>0</v>
      </c>
      <c r="Q23085">
        <v>0</v>
      </c>
      <c r="S23085">
        <v>1</v>
      </c>
    </row>
    <row r="23086" spans="1:19" x14ac:dyDescent="0.3">
      <c r="A23086" t="str">
        <f t="shared" si="24"/>
        <v>Better MorningsIHCBS CombinedNov-24</v>
      </c>
      <c r="B23086" s="171" t="s">
        <v>46003</v>
      </c>
      <c r="C23086" s="171" t="s">
        <v>39930</v>
      </c>
      <c r="D23086" s="171" t="s">
        <v>4</v>
      </c>
      <c r="E23086" s="11">
        <v>45597</v>
      </c>
      <c r="F23086">
        <v>4</v>
      </c>
      <c r="G23086">
        <v>4</v>
      </c>
      <c r="I23086">
        <v>13</v>
      </c>
      <c r="J23086">
        <v>16</v>
      </c>
      <c r="L23086">
        <v>16</v>
      </c>
      <c r="N23086">
        <v>8</v>
      </c>
      <c r="P23086">
        <v>4</v>
      </c>
      <c r="Q23086">
        <v>5</v>
      </c>
      <c r="S23086">
        <v>5</v>
      </c>
    </row>
    <row r="23087" spans="1:19" x14ac:dyDescent="0.3">
      <c r="A23087" t="str">
        <f t="shared" si="24"/>
        <v>HillcrestIHCBS CombinedNov-24</v>
      </c>
      <c r="B23087" s="171" t="s">
        <v>46004</v>
      </c>
      <c r="C23087" s="171" t="s">
        <v>39933</v>
      </c>
      <c r="D23087" s="171" t="s">
        <v>4</v>
      </c>
      <c r="E23087" s="11">
        <v>45597</v>
      </c>
      <c r="F23087">
        <v>3</v>
      </c>
      <c r="G23087">
        <v>4</v>
      </c>
      <c r="I23087">
        <v>16</v>
      </c>
      <c r="J23087">
        <v>12</v>
      </c>
      <c r="L23087">
        <v>16</v>
      </c>
      <c r="N23087">
        <v>14</v>
      </c>
      <c r="P23087">
        <v>1</v>
      </c>
      <c r="Q23087">
        <v>1</v>
      </c>
      <c r="S23087">
        <v>2</v>
      </c>
    </row>
    <row r="23088" spans="1:19" x14ac:dyDescent="0.3">
      <c r="A23088" t="str">
        <f t="shared" si="24"/>
        <v>LESIHCBS CombinedNov-24</v>
      </c>
      <c r="B23088" s="171" t="s">
        <v>46005</v>
      </c>
      <c r="C23088" s="171" t="s">
        <v>39936</v>
      </c>
      <c r="D23088" s="171" t="s">
        <v>4</v>
      </c>
      <c r="E23088" s="11">
        <v>45597</v>
      </c>
      <c r="F23088">
        <v>0</v>
      </c>
      <c r="G23088">
        <v>0</v>
      </c>
      <c r="I23088">
        <v>0</v>
      </c>
      <c r="J23088">
        <v>0</v>
      </c>
      <c r="L23088">
        <v>0</v>
      </c>
      <c r="N23088">
        <v>0</v>
      </c>
      <c r="P23088">
        <v>0</v>
      </c>
      <c r="Q23088">
        <v>0</v>
      </c>
      <c r="S23088">
        <v>0</v>
      </c>
    </row>
    <row r="23089" spans="1:19" x14ac:dyDescent="0.3">
      <c r="A23089" t="str">
        <f t="shared" si="24"/>
        <v>MBI HSIHCBS CombinedNov-24</v>
      </c>
      <c r="B23089" s="171" t="s">
        <v>46006</v>
      </c>
      <c r="C23089" s="171" t="s">
        <v>39939</v>
      </c>
      <c r="D23089" s="171" t="s">
        <v>4</v>
      </c>
      <c r="E23089" s="11">
        <v>45597</v>
      </c>
      <c r="F23089">
        <v>2</v>
      </c>
      <c r="G23089">
        <v>2</v>
      </c>
      <c r="I23089">
        <v>6</v>
      </c>
      <c r="J23089">
        <v>8</v>
      </c>
      <c r="L23089">
        <v>8</v>
      </c>
      <c r="N23089">
        <v>6</v>
      </c>
      <c r="P23089">
        <v>0</v>
      </c>
      <c r="Q23089">
        <v>0</v>
      </c>
      <c r="S23089">
        <v>0</v>
      </c>
    </row>
    <row r="23090" spans="1:19" x14ac:dyDescent="0.3">
      <c r="A23090" t="str">
        <f t="shared" si="24"/>
        <v>MD Family ResourcesIHCBS CombinedNov-24</v>
      </c>
      <c r="B23090" s="171" t="s">
        <v>46007</v>
      </c>
      <c r="C23090" s="171" t="s">
        <v>39942</v>
      </c>
      <c r="D23090" s="171" t="s">
        <v>4</v>
      </c>
      <c r="E23090" s="11">
        <v>45597</v>
      </c>
      <c r="F23090">
        <v>0</v>
      </c>
      <c r="G23090">
        <v>4</v>
      </c>
      <c r="I23090">
        <v>0</v>
      </c>
      <c r="J23090">
        <v>0</v>
      </c>
      <c r="L23090">
        <v>16</v>
      </c>
      <c r="N23090">
        <v>0</v>
      </c>
      <c r="P23090">
        <v>0</v>
      </c>
      <c r="Q23090">
        <v>0</v>
      </c>
      <c r="S23090">
        <v>0</v>
      </c>
    </row>
    <row r="23091" spans="1:19" x14ac:dyDescent="0.3">
      <c r="A23091" t="str">
        <f t="shared" si="24"/>
        <v>UmbrellaIHCBS CombinedNov-24</v>
      </c>
      <c r="B23091" s="171" t="s">
        <v>46008</v>
      </c>
      <c r="C23091" s="171" t="s">
        <v>45944</v>
      </c>
      <c r="D23091" s="171" t="s">
        <v>4</v>
      </c>
      <c r="E23091" s="11">
        <v>45597</v>
      </c>
      <c r="F23091">
        <v>2</v>
      </c>
      <c r="G23091">
        <v>2</v>
      </c>
      <c r="I23091">
        <v>1</v>
      </c>
      <c r="J23091">
        <v>8</v>
      </c>
      <c r="L23091">
        <v>8</v>
      </c>
      <c r="N23091">
        <v>0</v>
      </c>
      <c r="P23091">
        <v>0</v>
      </c>
      <c r="Q23091">
        <v>0</v>
      </c>
      <c r="S23091">
        <v>1</v>
      </c>
    </row>
    <row r="23092" spans="1:19" x14ac:dyDescent="0.3">
      <c r="A23092" t="str">
        <f t="shared" si="24"/>
        <v>LCSMST CombinedNov-24</v>
      </c>
      <c r="B23092" s="171" t="s">
        <v>46009</v>
      </c>
      <c r="C23092" s="171" t="s">
        <v>18137</v>
      </c>
      <c r="D23092" s="171" t="s">
        <v>4</v>
      </c>
      <c r="E23092" s="11">
        <v>45597</v>
      </c>
      <c r="F23092">
        <v>0</v>
      </c>
      <c r="G23092">
        <v>0</v>
      </c>
      <c r="I23092">
        <v>0</v>
      </c>
      <c r="J23092">
        <v>0</v>
      </c>
      <c r="L23092">
        <v>0</v>
      </c>
      <c r="N23092">
        <v>0</v>
      </c>
      <c r="P23092">
        <v>0</v>
      </c>
      <c r="Q23092">
        <v>0</v>
      </c>
      <c r="S23092">
        <v>0</v>
      </c>
    </row>
    <row r="23093" spans="1:19" x14ac:dyDescent="0.3">
      <c r="A23093" t="str">
        <f t="shared" si="24"/>
        <v>MBI HSMST CombinedNov-24</v>
      </c>
      <c r="B23093" s="171" t="s">
        <v>46010</v>
      </c>
      <c r="C23093" s="171" t="s">
        <v>18140</v>
      </c>
      <c r="D23093" s="171" t="s">
        <v>4</v>
      </c>
      <c r="E23093" s="11">
        <v>45597</v>
      </c>
      <c r="F23093">
        <v>2</v>
      </c>
      <c r="G23093">
        <v>4</v>
      </c>
      <c r="I23093">
        <v>7</v>
      </c>
      <c r="J23093">
        <v>10</v>
      </c>
      <c r="L23093">
        <v>20</v>
      </c>
      <c r="N23093">
        <v>6</v>
      </c>
      <c r="P23093">
        <v>3</v>
      </c>
      <c r="Q23093">
        <v>4</v>
      </c>
      <c r="S23093">
        <v>1</v>
      </c>
    </row>
    <row r="23094" spans="1:19" x14ac:dyDescent="0.3">
      <c r="A23094" t="str">
        <f t="shared" si="24"/>
        <v>Youth VillagesMST CombinedNov-24</v>
      </c>
      <c r="B23094" s="171" t="s">
        <v>46011</v>
      </c>
      <c r="C23094" s="171" t="s">
        <v>236</v>
      </c>
      <c r="D23094" s="171" t="s">
        <v>4</v>
      </c>
      <c r="E23094" s="11">
        <v>45597</v>
      </c>
      <c r="F23094">
        <v>0</v>
      </c>
      <c r="G23094">
        <v>0</v>
      </c>
      <c r="I23094">
        <v>0</v>
      </c>
      <c r="J23094">
        <v>0</v>
      </c>
      <c r="L23094">
        <v>0</v>
      </c>
      <c r="N23094">
        <v>0</v>
      </c>
      <c r="P23094">
        <v>0</v>
      </c>
      <c r="Q23094">
        <v>0</v>
      </c>
      <c r="S23094">
        <v>0</v>
      </c>
    </row>
    <row r="23095" spans="1:19" x14ac:dyDescent="0.3">
      <c r="A23095" t="str">
        <f t="shared" si="24"/>
        <v>Youth VillagesMST-PSB CombinedNov-24</v>
      </c>
      <c r="B23095" s="171" t="s">
        <v>46012</v>
      </c>
      <c r="C23095" s="171" t="s">
        <v>239</v>
      </c>
      <c r="D23095" s="171" t="s">
        <v>4</v>
      </c>
      <c r="E23095" s="11">
        <v>45597</v>
      </c>
      <c r="F23095">
        <v>0</v>
      </c>
      <c r="G23095">
        <v>0</v>
      </c>
      <c r="I23095">
        <v>0</v>
      </c>
      <c r="J23095">
        <v>0</v>
      </c>
      <c r="L23095">
        <v>0</v>
      </c>
      <c r="N23095">
        <v>0</v>
      </c>
      <c r="P23095">
        <v>0</v>
      </c>
      <c r="Q23095">
        <v>0</v>
      </c>
      <c r="S23095">
        <v>0</v>
      </c>
    </row>
    <row r="23096" spans="1:19" x14ac:dyDescent="0.3">
      <c r="A23096" t="str">
        <f t="shared" si="24"/>
        <v>Medstar GeorgetownPCIT CombinedNov-24</v>
      </c>
      <c r="B23096" s="171" t="s">
        <v>46013</v>
      </c>
      <c r="C23096" s="171" t="s">
        <v>24315</v>
      </c>
      <c r="D23096" s="171" t="s">
        <v>4</v>
      </c>
      <c r="E23096" s="11">
        <v>45597</v>
      </c>
      <c r="F23096">
        <v>0</v>
      </c>
      <c r="G23096">
        <v>0</v>
      </c>
      <c r="I23096">
        <v>0</v>
      </c>
      <c r="J23096">
        <v>0</v>
      </c>
      <c r="L23096">
        <v>0</v>
      </c>
      <c r="N23096">
        <v>0</v>
      </c>
      <c r="P23096">
        <v>0</v>
      </c>
      <c r="Q23096">
        <v>0</v>
      </c>
      <c r="S23096">
        <v>0</v>
      </c>
    </row>
    <row r="23097" spans="1:19" x14ac:dyDescent="0.3">
      <c r="A23097" t="str">
        <f t="shared" si="24"/>
        <v>Marys CenterPCIT-T CombinedNov-24</v>
      </c>
      <c r="B23097" s="171" t="s">
        <v>46014</v>
      </c>
      <c r="C23097" s="171" t="s">
        <v>34833</v>
      </c>
      <c r="D23097" s="171" t="s">
        <v>4</v>
      </c>
      <c r="E23097" s="11">
        <v>45597</v>
      </c>
      <c r="F23097">
        <v>1.5</v>
      </c>
      <c r="G23097">
        <v>2</v>
      </c>
      <c r="I23097">
        <v>0</v>
      </c>
      <c r="J23097">
        <v>9</v>
      </c>
      <c r="L23097">
        <v>11</v>
      </c>
      <c r="N23097">
        <v>0</v>
      </c>
      <c r="P23097">
        <v>0</v>
      </c>
      <c r="Q23097">
        <v>1</v>
      </c>
      <c r="S23097">
        <v>0</v>
      </c>
    </row>
    <row r="23098" spans="1:19" x14ac:dyDescent="0.3">
      <c r="A23098" t="str">
        <f t="shared" si="24"/>
        <v>PIECEPCIT-T CombinedNov-24</v>
      </c>
      <c r="B23098" s="171" t="s">
        <v>46015</v>
      </c>
      <c r="C23098" s="171" t="s">
        <v>34836</v>
      </c>
      <c r="D23098" s="171" t="s">
        <v>4</v>
      </c>
      <c r="E23098" s="11">
        <v>45597</v>
      </c>
      <c r="F23098">
        <v>1.5</v>
      </c>
      <c r="G23098">
        <v>1.5</v>
      </c>
      <c r="I23098">
        <v>2</v>
      </c>
      <c r="J23098">
        <v>7</v>
      </c>
      <c r="L23098">
        <v>7</v>
      </c>
      <c r="N23098">
        <v>2</v>
      </c>
      <c r="P23098">
        <v>0</v>
      </c>
      <c r="Q23098">
        <v>0</v>
      </c>
      <c r="S23098">
        <v>0</v>
      </c>
    </row>
    <row r="23099" spans="1:19" x14ac:dyDescent="0.3">
      <c r="A23099" t="str">
        <f t="shared" si="24"/>
        <v>Community ConnectionsTF-CBT CombinedNov-24</v>
      </c>
      <c r="B23099" s="171" t="s">
        <v>46016</v>
      </c>
      <c r="C23099" s="171" t="s">
        <v>113</v>
      </c>
      <c r="D23099" s="171" t="s">
        <v>4</v>
      </c>
      <c r="E23099" s="11">
        <v>45597</v>
      </c>
      <c r="F23099">
        <v>0</v>
      </c>
      <c r="G23099">
        <v>0</v>
      </c>
      <c r="I23099">
        <v>0</v>
      </c>
      <c r="J23099">
        <v>0</v>
      </c>
      <c r="L23099">
        <v>0</v>
      </c>
      <c r="N23099">
        <v>0</v>
      </c>
      <c r="P23099">
        <v>0</v>
      </c>
      <c r="Q23099">
        <v>0</v>
      </c>
      <c r="S23099">
        <v>0</v>
      </c>
    </row>
    <row r="23100" spans="1:19" x14ac:dyDescent="0.3">
      <c r="A23100" t="str">
        <f t="shared" si="24"/>
        <v>First Home CareTF-CBT CombinedNov-24</v>
      </c>
      <c r="B23100" s="171" t="s">
        <v>46017</v>
      </c>
      <c r="C23100" s="171" t="s">
        <v>131</v>
      </c>
      <c r="D23100" s="171" t="s">
        <v>4</v>
      </c>
      <c r="E23100" s="11">
        <v>45597</v>
      </c>
      <c r="F23100">
        <v>0</v>
      </c>
      <c r="G23100">
        <v>0</v>
      </c>
      <c r="I23100">
        <v>0</v>
      </c>
      <c r="J23100">
        <v>0</v>
      </c>
      <c r="L23100">
        <v>0</v>
      </c>
      <c r="N23100">
        <v>0</v>
      </c>
      <c r="P23100">
        <v>0</v>
      </c>
      <c r="Q23100">
        <v>0</v>
      </c>
      <c r="S23100">
        <v>0</v>
      </c>
    </row>
    <row r="23101" spans="1:19" x14ac:dyDescent="0.3">
      <c r="A23101" t="str">
        <f t="shared" si="24"/>
        <v>Foundations for Home &amp; CommunityTF-CBT CombinedNov-24</v>
      </c>
      <c r="B23101" s="171" t="s">
        <v>46018</v>
      </c>
      <c r="C23101" s="171" t="s">
        <v>14843</v>
      </c>
      <c r="D23101" s="171" t="s">
        <v>4</v>
      </c>
      <c r="E23101" s="11">
        <v>45597</v>
      </c>
      <c r="F23101">
        <v>0</v>
      </c>
      <c r="G23101">
        <v>0</v>
      </c>
      <c r="I23101">
        <v>0</v>
      </c>
      <c r="J23101">
        <v>0</v>
      </c>
      <c r="L23101">
        <v>0</v>
      </c>
      <c r="N23101">
        <v>0</v>
      </c>
      <c r="P23101">
        <v>0</v>
      </c>
      <c r="Q23101">
        <v>0</v>
      </c>
      <c r="S23101">
        <v>0</v>
      </c>
    </row>
    <row r="23102" spans="1:19" x14ac:dyDescent="0.3">
      <c r="A23102" t="str">
        <f t="shared" si="24"/>
        <v>HillcrestTF-CBT CombinedNov-24</v>
      </c>
      <c r="B23102" s="171" t="s">
        <v>46019</v>
      </c>
      <c r="C23102" s="171" t="s">
        <v>155</v>
      </c>
      <c r="D23102" s="171" t="s">
        <v>4</v>
      </c>
      <c r="E23102" s="11">
        <v>45597</v>
      </c>
      <c r="F23102">
        <v>4</v>
      </c>
      <c r="G23102">
        <v>6</v>
      </c>
      <c r="I23102">
        <v>13</v>
      </c>
      <c r="J23102">
        <v>23</v>
      </c>
      <c r="L23102">
        <v>31</v>
      </c>
      <c r="N23102">
        <v>8</v>
      </c>
      <c r="P23102">
        <v>0</v>
      </c>
      <c r="Q23102">
        <v>0</v>
      </c>
      <c r="S23102">
        <v>5</v>
      </c>
    </row>
    <row r="23103" spans="1:19" x14ac:dyDescent="0.3">
      <c r="A23103" t="str">
        <f t="shared" si="24"/>
        <v>LAYCTF-CBT CombinedNov-24</v>
      </c>
      <c r="B23103" s="171" t="s">
        <v>46020</v>
      </c>
      <c r="C23103" s="171" t="s">
        <v>16232</v>
      </c>
      <c r="D23103" s="171" t="s">
        <v>4</v>
      </c>
      <c r="E23103" s="11">
        <v>45597</v>
      </c>
      <c r="F23103">
        <v>2.5</v>
      </c>
      <c r="G23103">
        <v>3.5</v>
      </c>
      <c r="I23103">
        <v>8</v>
      </c>
      <c r="J23103">
        <v>15</v>
      </c>
      <c r="L23103">
        <v>21</v>
      </c>
      <c r="N23103">
        <v>7</v>
      </c>
      <c r="P23103">
        <v>0</v>
      </c>
      <c r="Q23103">
        <v>0</v>
      </c>
      <c r="S23103">
        <v>1</v>
      </c>
    </row>
    <row r="23104" spans="1:19" x14ac:dyDescent="0.3">
      <c r="A23104" t="str">
        <f t="shared" si="24"/>
        <v>LESTF-CBT CombinedNov-24</v>
      </c>
      <c r="B23104" s="171" t="s">
        <v>46021</v>
      </c>
      <c r="C23104" s="171" t="s">
        <v>16557</v>
      </c>
      <c r="D23104" s="171" t="s">
        <v>4</v>
      </c>
      <c r="E23104" s="11">
        <v>45597</v>
      </c>
      <c r="F23104">
        <v>0</v>
      </c>
      <c r="G23104">
        <v>0</v>
      </c>
      <c r="I23104">
        <v>0</v>
      </c>
      <c r="J23104">
        <v>0</v>
      </c>
      <c r="L23104">
        <v>0</v>
      </c>
      <c r="N23104">
        <v>0</v>
      </c>
      <c r="P23104">
        <v>0</v>
      </c>
      <c r="Q23104">
        <v>0</v>
      </c>
      <c r="S23104">
        <v>0</v>
      </c>
    </row>
    <row r="23105" spans="1:19" x14ac:dyDescent="0.3">
      <c r="A23105" t="str">
        <f t="shared" si="24"/>
        <v>MD Family ResourcesTF-CBT CombinedNov-24</v>
      </c>
      <c r="B23105" s="171" t="s">
        <v>46022</v>
      </c>
      <c r="C23105" s="171" t="s">
        <v>188</v>
      </c>
      <c r="D23105" s="171" t="s">
        <v>4</v>
      </c>
      <c r="E23105" s="11">
        <v>45597</v>
      </c>
      <c r="F23105">
        <v>1</v>
      </c>
      <c r="G23105">
        <v>3.5</v>
      </c>
      <c r="I23105">
        <v>3</v>
      </c>
      <c r="J23105">
        <v>5</v>
      </c>
      <c r="L23105">
        <v>20</v>
      </c>
      <c r="N23105">
        <v>3</v>
      </c>
      <c r="P23105">
        <v>0</v>
      </c>
      <c r="Q23105">
        <v>0</v>
      </c>
      <c r="S23105">
        <v>0</v>
      </c>
    </row>
    <row r="23106" spans="1:19" x14ac:dyDescent="0.3">
      <c r="A23106" t="str">
        <f t="shared" si="24"/>
        <v>UniversalTF-CBT CombinedNov-24</v>
      </c>
      <c r="B23106" s="171" t="s">
        <v>46023</v>
      </c>
      <c r="C23106" s="171" t="s">
        <v>227</v>
      </c>
      <c r="D23106" s="171" t="s">
        <v>4</v>
      </c>
      <c r="E23106" s="11">
        <v>45597</v>
      </c>
      <c r="F23106">
        <v>0</v>
      </c>
      <c r="G23106">
        <v>0</v>
      </c>
      <c r="I23106">
        <v>0</v>
      </c>
      <c r="J23106">
        <v>0</v>
      </c>
      <c r="L23106">
        <v>0</v>
      </c>
      <c r="N23106">
        <v>0</v>
      </c>
      <c r="P23106">
        <v>0</v>
      </c>
      <c r="Q23106">
        <v>0</v>
      </c>
      <c r="S23106">
        <v>0</v>
      </c>
    </row>
    <row r="23107" spans="1:19" x14ac:dyDescent="0.3">
      <c r="A23107" t="str">
        <f t="shared" si="24"/>
        <v>Community ConnectionsTIP CombinedNov-24</v>
      </c>
      <c r="B23107" s="171" t="s">
        <v>46024</v>
      </c>
      <c r="C23107" s="171" t="s">
        <v>116</v>
      </c>
      <c r="D23107" s="171" t="s">
        <v>4</v>
      </c>
      <c r="E23107" s="11">
        <v>45597</v>
      </c>
      <c r="F23107">
        <v>0</v>
      </c>
      <c r="G23107">
        <v>0</v>
      </c>
      <c r="I23107">
        <v>0</v>
      </c>
      <c r="J23107">
        <v>0</v>
      </c>
      <c r="L23107">
        <v>0</v>
      </c>
      <c r="N23107">
        <v>0</v>
      </c>
      <c r="P23107">
        <v>0</v>
      </c>
      <c r="Q23107">
        <v>0</v>
      </c>
      <c r="S23107">
        <v>0</v>
      </c>
    </row>
    <row r="23108" spans="1:19" x14ac:dyDescent="0.3">
      <c r="A23108" t="str">
        <f t="shared" si="24"/>
        <v>ContemporaryTIP CombinedNov-24</v>
      </c>
      <c r="B23108" s="171" t="s">
        <v>46025</v>
      </c>
      <c r="C23108" s="171" t="s">
        <v>9862</v>
      </c>
      <c r="D23108" s="171" t="s">
        <v>4</v>
      </c>
      <c r="E23108" s="11">
        <v>45597</v>
      </c>
      <c r="F23108">
        <v>0</v>
      </c>
      <c r="G23108">
        <v>0</v>
      </c>
      <c r="I23108">
        <v>0</v>
      </c>
      <c r="J23108">
        <v>0</v>
      </c>
      <c r="L23108">
        <v>0</v>
      </c>
      <c r="N23108">
        <v>0</v>
      </c>
      <c r="P23108">
        <v>0</v>
      </c>
      <c r="Q23108">
        <v>0</v>
      </c>
      <c r="S23108">
        <v>0</v>
      </c>
    </row>
    <row r="23109" spans="1:19" x14ac:dyDescent="0.3">
      <c r="A23109" t="str">
        <f t="shared" si="24"/>
        <v>FPSTIP CombinedNov-24</v>
      </c>
      <c r="B23109" s="171" t="s">
        <v>46026</v>
      </c>
      <c r="C23109" s="171" t="s">
        <v>140</v>
      </c>
      <c r="D23109" s="171" t="s">
        <v>4</v>
      </c>
      <c r="E23109" s="11">
        <v>45597</v>
      </c>
      <c r="F23109">
        <v>0</v>
      </c>
      <c r="G23109">
        <v>0</v>
      </c>
      <c r="I23109">
        <v>0</v>
      </c>
      <c r="J23109">
        <v>0</v>
      </c>
      <c r="L23109">
        <v>0</v>
      </c>
      <c r="N23109">
        <v>0</v>
      </c>
      <c r="P23109">
        <v>0</v>
      </c>
      <c r="Q23109">
        <v>0</v>
      </c>
      <c r="S23109">
        <v>0</v>
      </c>
    </row>
    <row r="23110" spans="1:19" x14ac:dyDescent="0.3">
      <c r="A23110" t="str">
        <f t="shared" si="24"/>
        <v>Green DoorTIP CombinedNov-24</v>
      </c>
      <c r="B23110" s="171" t="s">
        <v>46027</v>
      </c>
      <c r="C23110" s="171" t="s">
        <v>8590</v>
      </c>
      <c r="D23110" s="171" t="s">
        <v>4</v>
      </c>
      <c r="E23110" s="11">
        <v>45597</v>
      </c>
      <c r="F23110">
        <v>0</v>
      </c>
      <c r="G23110">
        <v>0</v>
      </c>
      <c r="I23110">
        <v>0</v>
      </c>
      <c r="J23110">
        <v>0</v>
      </c>
      <c r="L23110">
        <v>0</v>
      </c>
      <c r="N23110">
        <v>0</v>
      </c>
      <c r="P23110">
        <v>0</v>
      </c>
      <c r="Q23110">
        <v>0</v>
      </c>
      <c r="S23110">
        <v>0</v>
      </c>
    </row>
    <row r="23111" spans="1:19" x14ac:dyDescent="0.3">
      <c r="A23111" t="str">
        <f t="shared" si="24"/>
        <v>LESTIP CombinedNov-24</v>
      </c>
      <c r="B23111" s="171" t="s">
        <v>46028</v>
      </c>
      <c r="C23111" s="171" t="s">
        <v>170</v>
      </c>
      <c r="D23111" s="171" t="s">
        <v>4</v>
      </c>
      <c r="E23111" s="11">
        <v>45597</v>
      </c>
      <c r="F23111">
        <v>2.5</v>
      </c>
      <c r="G23111">
        <v>2.5</v>
      </c>
      <c r="I23111">
        <v>11</v>
      </c>
      <c r="J23111">
        <v>35</v>
      </c>
      <c r="L23111">
        <v>35</v>
      </c>
      <c r="N23111">
        <v>11</v>
      </c>
      <c r="P23111">
        <v>1</v>
      </c>
      <c r="Q23111">
        <v>1</v>
      </c>
      <c r="S23111">
        <v>0</v>
      </c>
    </row>
    <row r="23112" spans="1:19" x14ac:dyDescent="0.3">
      <c r="A23112" t="str">
        <f t="shared" si="24"/>
        <v>MBI HSTIP CombinedNov-24</v>
      </c>
      <c r="B23112" s="171" t="s">
        <v>46029</v>
      </c>
      <c r="C23112" s="171" t="s">
        <v>182</v>
      </c>
      <c r="D23112" s="171" t="s">
        <v>4</v>
      </c>
      <c r="E23112" s="11">
        <v>45597</v>
      </c>
      <c r="F23112">
        <v>7</v>
      </c>
      <c r="G23112">
        <v>9</v>
      </c>
      <c r="I23112">
        <v>42</v>
      </c>
      <c r="J23112">
        <v>80</v>
      </c>
      <c r="L23112">
        <v>102</v>
      </c>
      <c r="N23112">
        <v>42</v>
      </c>
      <c r="P23112">
        <v>1</v>
      </c>
      <c r="Q23112">
        <v>1</v>
      </c>
      <c r="S23112">
        <v>0</v>
      </c>
    </row>
    <row r="23113" spans="1:19" x14ac:dyDescent="0.3">
      <c r="A23113" t="str">
        <f t="shared" si="24"/>
        <v>PASSTIP CombinedNov-24</v>
      </c>
      <c r="B23113" s="171" t="s">
        <v>46030</v>
      </c>
      <c r="C23113" s="171" t="s">
        <v>197</v>
      </c>
      <c r="D23113" s="171" t="s">
        <v>4</v>
      </c>
      <c r="E23113" s="11">
        <v>45597</v>
      </c>
      <c r="F23113">
        <v>8</v>
      </c>
      <c r="G23113">
        <v>8</v>
      </c>
      <c r="I23113">
        <v>57</v>
      </c>
      <c r="J23113">
        <v>80</v>
      </c>
      <c r="L23113">
        <v>80</v>
      </c>
      <c r="N23113">
        <v>49</v>
      </c>
      <c r="P23113">
        <v>13</v>
      </c>
      <c r="Q23113">
        <v>15</v>
      </c>
      <c r="S23113">
        <v>8</v>
      </c>
    </row>
    <row r="23114" spans="1:19" x14ac:dyDescent="0.3">
      <c r="A23114" t="str">
        <f t="shared" si="24"/>
        <v>TFCCTIP CombinedNov-24</v>
      </c>
      <c r="B23114" s="171" t="s">
        <v>46031</v>
      </c>
      <c r="C23114" s="171" t="s">
        <v>218</v>
      </c>
      <c r="D23114" s="171" t="s">
        <v>4</v>
      </c>
      <c r="E23114" s="11">
        <v>45597</v>
      </c>
      <c r="F23114">
        <v>0</v>
      </c>
      <c r="G23114">
        <v>0</v>
      </c>
      <c r="I23114">
        <v>0</v>
      </c>
      <c r="J23114">
        <v>0</v>
      </c>
      <c r="L23114">
        <v>0</v>
      </c>
      <c r="N23114">
        <v>0</v>
      </c>
      <c r="P23114">
        <v>0</v>
      </c>
      <c r="Q23114">
        <v>0</v>
      </c>
      <c r="S23114">
        <v>0</v>
      </c>
    </row>
    <row r="23115" spans="1:19" x14ac:dyDescent="0.3">
      <c r="A23115" t="str">
        <f t="shared" si="24"/>
        <v>UmbrellaTIP CombinedNov-24</v>
      </c>
      <c r="B23115" s="171" t="s">
        <v>46032</v>
      </c>
      <c r="C23115" s="171" t="s">
        <v>34871</v>
      </c>
      <c r="D23115" s="171" t="s">
        <v>4</v>
      </c>
      <c r="E23115" s="11">
        <v>45597</v>
      </c>
      <c r="F23115">
        <v>6</v>
      </c>
      <c r="G23115">
        <v>6</v>
      </c>
      <c r="I23115">
        <v>33</v>
      </c>
      <c r="J23115">
        <v>66</v>
      </c>
      <c r="L23115">
        <v>66</v>
      </c>
      <c r="N23115">
        <v>33</v>
      </c>
      <c r="P23115">
        <v>0</v>
      </c>
      <c r="Q23115">
        <v>0</v>
      </c>
      <c r="S23115">
        <v>0</v>
      </c>
    </row>
    <row r="23116" spans="1:19" x14ac:dyDescent="0.3">
      <c r="A23116" t="str">
        <f t="shared" si="24"/>
        <v>UniversalTIP CombinedNov-24</v>
      </c>
      <c r="B23116" s="171" t="s">
        <v>46033</v>
      </c>
      <c r="C23116" s="171" t="s">
        <v>230</v>
      </c>
      <c r="D23116" s="171" t="s">
        <v>4</v>
      </c>
      <c r="E23116" s="11">
        <v>45597</v>
      </c>
      <c r="F23116">
        <v>0</v>
      </c>
      <c r="G23116">
        <v>0</v>
      </c>
      <c r="I23116">
        <v>0</v>
      </c>
      <c r="J23116">
        <v>0</v>
      </c>
      <c r="L23116">
        <v>0</v>
      </c>
      <c r="N23116">
        <v>0</v>
      </c>
      <c r="P23116">
        <v>0</v>
      </c>
      <c r="Q23116">
        <v>0</v>
      </c>
      <c r="S23116">
        <v>0</v>
      </c>
    </row>
    <row r="23117" spans="1:19" x14ac:dyDescent="0.3">
      <c r="A23117" t="str">
        <f t="shared" si="24"/>
        <v>Wayne PlaceTIP CombinedNov-24</v>
      </c>
      <c r="B23117" s="171" t="s">
        <v>46034</v>
      </c>
      <c r="C23117" s="171" t="s">
        <v>8193</v>
      </c>
      <c r="D23117" s="171" t="s">
        <v>4</v>
      </c>
      <c r="E23117" s="11">
        <v>45597</v>
      </c>
      <c r="F23117">
        <v>2</v>
      </c>
      <c r="G23117">
        <v>3</v>
      </c>
      <c r="I23117">
        <v>8</v>
      </c>
      <c r="J23117">
        <v>22</v>
      </c>
      <c r="L23117">
        <v>33</v>
      </c>
      <c r="N23117">
        <v>8</v>
      </c>
      <c r="P23117">
        <v>0</v>
      </c>
      <c r="Q23117">
        <v>2</v>
      </c>
      <c r="S23117">
        <v>0</v>
      </c>
    </row>
    <row r="23118" spans="1:19" x14ac:dyDescent="0.3">
      <c r="A23118" t="str">
        <f t="shared" si="24"/>
        <v>Adoptions TogetherTST CombinedNov-24</v>
      </c>
      <c r="B23118" s="171" t="s">
        <v>46035</v>
      </c>
      <c r="C23118" s="171" t="s">
        <v>10522</v>
      </c>
      <c r="D23118" s="171" t="s">
        <v>4</v>
      </c>
      <c r="E23118" s="11">
        <v>45597</v>
      </c>
      <c r="F23118">
        <v>0</v>
      </c>
      <c r="G23118">
        <v>0</v>
      </c>
      <c r="I23118">
        <v>0</v>
      </c>
      <c r="J23118">
        <v>0</v>
      </c>
      <c r="L23118">
        <v>0</v>
      </c>
      <c r="N23118">
        <v>0</v>
      </c>
      <c r="P23118">
        <v>0</v>
      </c>
      <c r="Q23118">
        <v>0</v>
      </c>
      <c r="S23118">
        <v>0</v>
      </c>
    </row>
    <row r="23119" spans="1:19" x14ac:dyDescent="0.3">
      <c r="A23119" t="str">
        <f t="shared" si="24"/>
        <v>ContemporaryTST CombinedNov-24</v>
      </c>
      <c r="B23119" s="171" t="s">
        <v>46036</v>
      </c>
      <c r="C23119" s="171" t="s">
        <v>10525</v>
      </c>
      <c r="D23119" s="171" t="s">
        <v>4</v>
      </c>
      <c r="E23119" s="11">
        <v>45597</v>
      </c>
      <c r="F23119">
        <v>0</v>
      </c>
      <c r="G23119">
        <v>0</v>
      </c>
      <c r="I23119">
        <v>0</v>
      </c>
      <c r="J23119">
        <v>0</v>
      </c>
      <c r="L23119">
        <v>0</v>
      </c>
      <c r="N23119">
        <v>0</v>
      </c>
      <c r="P23119">
        <v>0</v>
      </c>
      <c r="Q23119">
        <v>0</v>
      </c>
      <c r="S23119">
        <v>0</v>
      </c>
    </row>
    <row r="23120" spans="1:19" x14ac:dyDescent="0.3">
      <c r="A23120" t="str">
        <f t="shared" si="24"/>
        <v>Family MattersTST CombinedNov-24</v>
      </c>
      <c r="B23120" s="171" t="s">
        <v>46037</v>
      </c>
      <c r="C23120" s="171" t="s">
        <v>10528</v>
      </c>
      <c r="D23120" s="171" t="s">
        <v>4</v>
      </c>
      <c r="E23120" s="11">
        <v>45597</v>
      </c>
      <c r="F23120">
        <v>0</v>
      </c>
      <c r="G23120">
        <v>0</v>
      </c>
      <c r="I23120">
        <v>0</v>
      </c>
      <c r="J23120">
        <v>0</v>
      </c>
      <c r="L23120">
        <v>0</v>
      </c>
      <c r="N23120">
        <v>0</v>
      </c>
      <c r="P23120">
        <v>0</v>
      </c>
      <c r="Q23120">
        <v>0</v>
      </c>
      <c r="S23120">
        <v>0</v>
      </c>
    </row>
    <row r="23121" spans="1:19" x14ac:dyDescent="0.3">
      <c r="A23121" t="str">
        <f t="shared" si="24"/>
        <v>First Home CareTST CombinedNov-24</v>
      </c>
      <c r="B23121" s="171" t="s">
        <v>46038</v>
      </c>
      <c r="C23121" s="171" t="s">
        <v>10531</v>
      </c>
      <c r="D23121" s="171" t="s">
        <v>4</v>
      </c>
      <c r="E23121" s="11">
        <v>45597</v>
      </c>
      <c r="F23121">
        <v>0</v>
      </c>
      <c r="G23121">
        <v>0</v>
      </c>
      <c r="I23121">
        <v>0</v>
      </c>
      <c r="J23121">
        <v>0</v>
      </c>
      <c r="L23121">
        <v>0</v>
      </c>
      <c r="N23121">
        <v>0</v>
      </c>
      <c r="P23121">
        <v>0</v>
      </c>
      <c r="Q23121">
        <v>0</v>
      </c>
      <c r="S23121">
        <v>0</v>
      </c>
    </row>
    <row r="23122" spans="1:19" x14ac:dyDescent="0.3">
      <c r="A23122" t="str">
        <f t="shared" si="24"/>
        <v>Foundations for Home &amp; CommunityTST CombinedNov-24</v>
      </c>
      <c r="B23122" s="171" t="s">
        <v>46039</v>
      </c>
      <c r="C23122" s="171" t="s">
        <v>14880</v>
      </c>
      <c r="D23122" s="171" t="s">
        <v>4</v>
      </c>
      <c r="E23122" s="11">
        <v>45597</v>
      </c>
      <c r="F23122">
        <v>0</v>
      </c>
      <c r="G23122">
        <v>0</v>
      </c>
      <c r="I23122">
        <v>0</v>
      </c>
      <c r="J23122">
        <v>0</v>
      </c>
      <c r="L23122">
        <v>0</v>
      </c>
      <c r="N23122">
        <v>0</v>
      </c>
      <c r="P23122">
        <v>0</v>
      </c>
      <c r="Q23122">
        <v>0</v>
      </c>
      <c r="S23122">
        <v>0</v>
      </c>
    </row>
    <row r="23123" spans="1:19" x14ac:dyDescent="0.3">
      <c r="A23123" t="str">
        <f t="shared" si="24"/>
        <v>HillcrestTST CombinedNov-24</v>
      </c>
      <c r="B23123" s="171" t="s">
        <v>46040</v>
      </c>
      <c r="C23123" s="171" t="s">
        <v>10534</v>
      </c>
      <c r="D23123" s="171" t="s">
        <v>4</v>
      </c>
      <c r="E23123" s="11">
        <v>45597</v>
      </c>
      <c r="F23123">
        <v>1</v>
      </c>
      <c r="G23123">
        <v>1.5</v>
      </c>
      <c r="I23123">
        <v>4</v>
      </c>
      <c r="J23123">
        <v>5</v>
      </c>
      <c r="L23123">
        <v>8</v>
      </c>
      <c r="N23123">
        <v>4</v>
      </c>
      <c r="P23123">
        <v>0</v>
      </c>
      <c r="Q23123">
        <v>0</v>
      </c>
      <c r="S23123">
        <v>0</v>
      </c>
    </row>
    <row r="23124" spans="1:19" x14ac:dyDescent="0.3">
      <c r="A23124" t="str">
        <f t="shared" si="24"/>
        <v>MD Family ResourcesTST CombinedNov-24</v>
      </c>
      <c r="B23124" s="171" t="s">
        <v>46041</v>
      </c>
      <c r="C23124" s="171" t="s">
        <v>10537</v>
      </c>
      <c r="D23124" s="171" t="s">
        <v>4</v>
      </c>
      <c r="E23124" s="11">
        <v>45597</v>
      </c>
      <c r="F23124">
        <v>0</v>
      </c>
      <c r="G23124">
        <v>1</v>
      </c>
      <c r="I23124">
        <v>0</v>
      </c>
      <c r="J23124">
        <v>0</v>
      </c>
      <c r="L23124">
        <v>6</v>
      </c>
      <c r="N23124">
        <v>0</v>
      </c>
      <c r="P23124">
        <v>0</v>
      </c>
      <c r="Q23124">
        <v>0</v>
      </c>
      <c r="S23124">
        <v>0</v>
      </c>
    </row>
    <row r="23125" spans="1:19" x14ac:dyDescent="0.3">
      <c r="A23125" t="str">
        <f t="shared" si="24"/>
        <v>Marys CenterCPP-FV CombinedNov-24</v>
      </c>
      <c r="B23125" s="171" t="s">
        <v>46042</v>
      </c>
      <c r="C23125" s="171" t="s">
        <v>15347</v>
      </c>
      <c r="D23125" s="171" t="s">
        <v>4</v>
      </c>
      <c r="E23125" s="11">
        <v>45597</v>
      </c>
      <c r="F23125">
        <v>1.5</v>
      </c>
      <c r="G23125">
        <v>2.5</v>
      </c>
      <c r="I23125">
        <v>5</v>
      </c>
      <c r="J23125">
        <v>9</v>
      </c>
      <c r="L23125">
        <v>15</v>
      </c>
      <c r="N23125">
        <v>5</v>
      </c>
      <c r="P23125">
        <v>0</v>
      </c>
      <c r="Q23125">
        <v>0</v>
      </c>
      <c r="S23125">
        <v>0</v>
      </c>
    </row>
    <row r="23126" spans="1:19" x14ac:dyDescent="0.3">
      <c r="A23126" t="str">
        <f t="shared" ref="A23126:A23189" si="25">C23126&amp;" "&amp;D23126&amp;"Nov-24"</f>
        <v>PIECECPP-FV CombinedNov-24</v>
      </c>
      <c r="B23126" s="171" t="s">
        <v>46043</v>
      </c>
      <c r="C23126" s="171" t="s">
        <v>203</v>
      </c>
      <c r="D23126" s="171" t="s">
        <v>4</v>
      </c>
      <c r="E23126" s="11">
        <v>45597</v>
      </c>
      <c r="F23126">
        <v>3</v>
      </c>
      <c r="G23126">
        <v>2.5</v>
      </c>
      <c r="I23126">
        <v>4</v>
      </c>
      <c r="J23126">
        <v>15</v>
      </c>
      <c r="L23126">
        <v>13</v>
      </c>
      <c r="N23126">
        <v>3</v>
      </c>
      <c r="P23126">
        <v>0</v>
      </c>
      <c r="Q23126">
        <v>0</v>
      </c>
      <c r="S23126">
        <v>1</v>
      </c>
    </row>
    <row r="23127" spans="1:19" x14ac:dyDescent="0.3">
      <c r="A23127" t="str">
        <f t="shared" si="25"/>
        <v>Community ConnectionsCPP-FV CombinedNov-24</v>
      </c>
      <c r="B23127" s="171" t="s">
        <v>46044</v>
      </c>
      <c r="C23127" s="171" t="s">
        <v>15340</v>
      </c>
      <c r="D23127" s="171" t="s">
        <v>4</v>
      </c>
      <c r="E23127" s="11">
        <v>45597</v>
      </c>
      <c r="F23127">
        <v>0</v>
      </c>
      <c r="G23127">
        <v>0</v>
      </c>
      <c r="I23127">
        <v>0</v>
      </c>
      <c r="J23127">
        <v>0</v>
      </c>
      <c r="L23127">
        <v>0</v>
      </c>
      <c r="N23127">
        <v>0</v>
      </c>
      <c r="P23127">
        <v>0</v>
      </c>
      <c r="Q23127">
        <v>0</v>
      </c>
      <c r="S23127">
        <v>0</v>
      </c>
    </row>
    <row r="23128" spans="1:19" x14ac:dyDescent="0.3">
      <c r="A23128" t="str">
        <f t="shared" si="25"/>
        <v>Community ConnectionsPCIT CombinedNov-24</v>
      </c>
      <c r="B23128" s="171" t="s">
        <v>46045</v>
      </c>
      <c r="C23128" s="171" t="s">
        <v>16544</v>
      </c>
      <c r="D23128" s="171" t="s">
        <v>4</v>
      </c>
      <c r="E23128" s="11">
        <v>45597</v>
      </c>
      <c r="F23128">
        <v>0</v>
      </c>
      <c r="G23128">
        <v>0</v>
      </c>
      <c r="I23128">
        <v>0</v>
      </c>
      <c r="J23128">
        <v>0</v>
      </c>
      <c r="L23128">
        <v>0</v>
      </c>
      <c r="N23128">
        <v>0</v>
      </c>
      <c r="P23128">
        <v>0</v>
      </c>
      <c r="Q23128">
        <v>0</v>
      </c>
      <c r="S23128">
        <v>0</v>
      </c>
    </row>
    <row r="23129" spans="1:19" x14ac:dyDescent="0.3">
      <c r="A23129" t="str">
        <f t="shared" si="25"/>
        <v>Marys CenterPCIT CombinedNov-24</v>
      </c>
      <c r="B23129" s="171" t="s">
        <v>46046</v>
      </c>
      <c r="C23129" s="171" t="s">
        <v>176</v>
      </c>
      <c r="D23129" s="171" t="s">
        <v>4</v>
      </c>
      <c r="E23129" s="11">
        <v>45597</v>
      </c>
      <c r="F23129">
        <v>2</v>
      </c>
      <c r="G23129">
        <v>2</v>
      </c>
      <c r="I23129">
        <v>1</v>
      </c>
      <c r="J23129">
        <v>11</v>
      </c>
      <c r="L23129">
        <v>11</v>
      </c>
      <c r="N23129">
        <v>1</v>
      </c>
      <c r="P23129">
        <v>0</v>
      </c>
      <c r="Q23129">
        <v>1</v>
      </c>
      <c r="S23129">
        <v>0</v>
      </c>
    </row>
    <row r="23130" spans="1:19" x14ac:dyDescent="0.3">
      <c r="A23130" t="str">
        <f t="shared" si="25"/>
        <v>PIECEPCIT CombinedNov-24</v>
      </c>
      <c r="B23130" s="171" t="s">
        <v>46047</v>
      </c>
      <c r="C23130" s="171" t="s">
        <v>206</v>
      </c>
      <c r="D23130" s="171" t="s">
        <v>4</v>
      </c>
      <c r="E23130" s="11">
        <v>45597</v>
      </c>
      <c r="F23130">
        <v>1.5</v>
      </c>
      <c r="G23130">
        <v>1.5</v>
      </c>
      <c r="I23130">
        <v>2</v>
      </c>
      <c r="J23130">
        <v>7</v>
      </c>
      <c r="L23130">
        <v>7</v>
      </c>
      <c r="N23130">
        <v>2</v>
      </c>
      <c r="P23130">
        <v>0</v>
      </c>
      <c r="Q23130">
        <v>0</v>
      </c>
      <c r="S23130">
        <v>0</v>
      </c>
    </row>
    <row r="23131" spans="1:19" x14ac:dyDescent="0.3">
      <c r="A23131" t="str">
        <f t="shared" si="25"/>
        <v>Better MorningsFFT FFNov-24</v>
      </c>
      <c r="B23131" s="171" t="s">
        <v>45932</v>
      </c>
      <c r="C23131" s="171" t="s">
        <v>24284</v>
      </c>
      <c r="D23131" s="171" t="s">
        <v>80</v>
      </c>
      <c r="E23131" s="11">
        <v>45597</v>
      </c>
      <c r="F23131">
        <v>7</v>
      </c>
      <c r="G23131">
        <v>7</v>
      </c>
      <c r="I23131">
        <v>23</v>
      </c>
      <c r="J23131">
        <v>33</v>
      </c>
      <c r="L23131">
        <v>33</v>
      </c>
      <c r="N23131">
        <v>15</v>
      </c>
      <c r="P23131">
        <v>0</v>
      </c>
      <c r="Q23131">
        <v>0</v>
      </c>
      <c r="S23131">
        <v>8</v>
      </c>
    </row>
    <row r="23132" spans="1:19" x14ac:dyDescent="0.3">
      <c r="A23132" t="str">
        <f t="shared" si="25"/>
        <v>CatholicAll FFNov-24</v>
      </c>
      <c r="B23132" s="171" t="s">
        <v>46048</v>
      </c>
      <c r="C23132" s="171" t="s">
        <v>18229</v>
      </c>
      <c r="D23132" s="171" t="s">
        <v>80</v>
      </c>
      <c r="E23132" s="11">
        <v>45597</v>
      </c>
      <c r="F23132">
        <v>0</v>
      </c>
      <c r="G23132">
        <v>0</v>
      </c>
      <c r="I23132">
        <v>0</v>
      </c>
      <c r="J23132">
        <v>0</v>
      </c>
      <c r="L23132">
        <v>0</v>
      </c>
      <c r="N23132">
        <v>0</v>
      </c>
      <c r="P23132">
        <v>0</v>
      </c>
      <c r="Q23132">
        <v>0</v>
      </c>
      <c r="S23132">
        <v>0</v>
      </c>
    </row>
    <row r="23133" spans="1:19" x14ac:dyDescent="0.3">
      <c r="A23133" t="str">
        <f t="shared" si="25"/>
        <v>ContemporaryAll FFNov-24</v>
      </c>
      <c r="B23133" s="171" t="s">
        <v>46049</v>
      </c>
      <c r="C23133" s="171" t="s">
        <v>9887</v>
      </c>
      <c r="D23133" s="171" t="s">
        <v>80</v>
      </c>
      <c r="E23133" s="11">
        <v>45597</v>
      </c>
      <c r="F23133">
        <v>0</v>
      </c>
      <c r="G23133">
        <v>0</v>
      </c>
      <c r="I23133">
        <v>0</v>
      </c>
      <c r="J23133">
        <v>0</v>
      </c>
      <c r="L23133">
        <v>0</v>
      </c>
      <c r="N23133">
        <v>0</v>
      </c>
      <c r="P23133">
        <v>0</v>
      </c>
      <c r="Q23133">
        <v>0</v>
      </c>
      <c r="S23133">
        <v>0</v>
      </c>
    </row>
    <row r="23134" spans="1:19" x14ac:dyDescent="0.3">
      <c r="A23134" t="str">
        <f t="shared" si="25"/>
        <v>DBH Parent SupportAll FFNov-24</v>
      </c>
      <c r="B23134" s="171" t="s">
        <v>46050</v>
      </c>
      <c r="C23134" s="171" t="s">
        <v>35010</v>
      </c>
      <c r="D23134" s="171" t="s">
        <v>80</v>
      </c>
      <c r="E23134" s="11">
        <v>45597</v>
      </c>
      <c r="F23134">
        <v>0</v>
      </c>
      <c r="G23134">
        <v>0</v>
      </c>
      <c r="I23134">
        <v>0</v>
      </c>
      <c r="J23134">
        <v>0</v>
      </c>
      <c r="L23134">
        <v>0</v>
      </c>
      <c r="N23134">
        <v>0</v>
      </c>
      <c r="P23134">
        <v>0</v>
      </c>
      <c r="Q23134">
        <v>0</v>
      </c>
      <c r="S23134">
        <v>0</v>
      </c>
    </row>
    <row r="23135" spans="1:19" x14ac:dyDescent="0.3">
      <c r="A23135" t="str">
        <f t="shared" si="25"/>
        <v>Family MattersAll FFNov-24</v>
      </c>
      <c r="B23135" s="171" t="s">
        <v>46051</v>
      </c>
      <c r="C23135" s="171" t="s">
        <v>11260</v>
      </c>
      <c r="D23135" s="171" t="s">
        <v>80</v>
      </c>
      <c r="E23135" s="11">
        <v>45597</v>
      </c>
      <c r="F23135">
        <v>0</v>
      </c>
      <c r="G23135">
        <v>0</v>
      </c>
      <c r="I23135">
        <v>0</v>
      </c>
      <c r="J23135">
        <v>0</v>
      </c>
      <c r="L23135">
        <v>0</v>
      </c>
      <c r="N23135">
        <v>0</v>
      </c>
      <c r="P23135">
        <v>0</v>
      </c>
      <c r="Q23135">
        <v>0</v>
      </c>
      <c r="S23135">
        <v>0</v>
      </c>
    </row>
    <row r="23136" spans="1:19" x14ac:dyDescent="0.3">
      <c r="A23136" t="str">
        <f t="shared" si="25"/>
        <v>Federal City All FFNov-24</v>
      </c>
      <c r="B23136" s="171" t="s">
        <v>46052</v>
      </c>
      <c r="C23136" s="171" t="s">
        <v>21284</v>
      </c>
      <c r="D23136" s="171" t="s">
        <v>80</v>
      </c>
      <c r="E23136" s="11">
        <v>45597</v>
      </c>
      <c r="F23136">
        <v>0</v>
      </c>
      <c r="G23136">
        <v>0</v>
      </c>
      <c r="I23136">
        <v>0</v>
      </c>
      <c r="J23136">
        <v>0</v>
      </c>
      <c r="L23136">
        <v>0</v>
      </c>
      <c r="N23136">
        <v>0</v>
      </c>
      <c r="P23136">
        <v>0</v>
      </c>
      <c r="Q23136">
        <v>0</v>
      </c>
      <c r="S23136">
        <v>0</v>
      </c>
    </row>
    <row r="23137" spans="1:19" x14ac:dyDescent="0.3">
      <c r="A23137" t="str">
        <f t="shared" si="25"/>
        <v>First Home CareAll FFNov-24</v>
      </c>
      <c r="B23137" s="171" t="s">
        <v>46053</v>
      </c>
      <c r="C23137" s="171" t="s">
        <v>125</v>
      </c>
      <c r="D23137" s="171" t="s">
        <v>80</v>
      </c>
      <c r="E23137" s="11">
        <v>45597</v>
      </c>
      <c r="F23137">
        <v>0</v>
      </c>
      <c r="G23137">
        <v>0</v>
      </c>
      <c r="I23137">
        <v>0</v>
      </c>
      <c r="J23137">
        <v>0</v>
      </c>
      <c r="L23137">
        <v>0</v>
      </c>
      <c r="N23137">
        <v>0</v>
      </c>
      <c r="P23137">
        <v>0</v>
      </c>
      <c r="Q23137">
        <v>0</v>
      </c>
      <c r="S23137">
        <v>0</v>
      </c>
    </row>
    <row r="23138" spans="1:19" x14ac:dyDescent="0.3">
      <c r="A23138" t="str">
        <f t="shared" si="25"/>
        <v>Foundations for Home &amp; CommunityAll FFNov-24</v>
      </c>
      <c r="B23138" s="171" t="s">
        <v>46054</v>
      </c>
      <c r="C23138" s="171" t="s">
        <v>14899</v>
      </c>
      <c r="D23138" s="171" t="s">
        <v>80</v>
      </c>
      <c r="E23138" s="11">
        <v>45597</v>
      </c>
      <c r="F23138">
        <v>0</v>
      </c>
      <c r="G23138">
        <v>0</v>
      </c>
      <c r="I23138">
        <v>0</v>
      </c>
      <c r="J23138">
        <v>0</v>
      </c>
      <c r="L23138">
        <v>0</v>
      </c>
      <c r="N23138">
        <v>0</v>
      </c>
      <c r="P23138">
        <v>0</v>
      </c>
      <c r="Q23138">
        <v>0</v>
      </c>
      <c r="S23138">
        <v>0</v>
      </c>
    </row>
    <row r="23139" spans="1:19" x14ac:dyDescent="0.3">
      <c r="A23139" t="str">
        <f t="shared" si="25"/>
        <v>FPSAll FFNov-24</v>
      </c>
      <c r="B23139" s="171" t="s">
        <v>46055</v>
      </c>
      <c r="C23139" s="171" t="s">
        <v>137</v>
      </c>
      <c r="D23139" s="171" t="s">
        <v>80</v>
      </c>
      <c r="E23139" s="11">
        <v>45597</v>
      </c>
      <c r="F23139">
        <v>0</v>
      </c>
      <c r="G23139">
        <v>0</v>
      </c>
      <c r="I23139">
        <v>0</v>
      </c>
      <c r="J23139">
        <v>0</v>
      </c>
      <c r="L23139">
        <v>0</v>
      </c>
      <c r="N23139">
        <v>0</v>
      </c>
      <c r="P23139">
        <v>0</v>
      </c>
      <c r="Q23139">
        <v>0</v>
      </c>
      <c r="S23139">
        <v>0</v>
      </c>
    </row>
    <row r="23140" spans="1:19" x14ac:dyDescent="0.3">
      <c r="A23140" t="str">
        <f t="shared" si="25"/>
        <v>Green DoorAll FFNov-24</v>
      </c>
      <c r="B23140" s="171" t="s">
        <v>46056</v>
      </c>
      <c r="C23140" s="171" t="s">
        <v>8615</v>
      </c>
      <c r="D23140" s="171" t="s">
        <v>80</v>
      </c>
      <c r="E23140" s="11">
        <v>45597</v>
      </c>
      <c r="F23140">
        <v>0</v>
      </c>
      <c r="G23140">
        <v>0</v>
      </c>
      <c r="I23140">
        <v>0</v>
      </c>
      <c r="J23140">
        <v>0</v>
      </c>
      <c r="L23140">
        <v>0</v>
      </c>
      <c r="N23140">
        <v>0</v>
      </c>
      <c r="P23140">
        <v>0</v>
      </c>
      <c r="Q23140">
        <v>0</v>
      </c>
      <c r="S23140">
        <v>0</v>
      </c>
    </row>
    <row r="23141" spans="1:19" x14ac:dyDescent="0.3">
      <c r="A23141" t="str">
        <f t="shared" si="25"/>
        <v>Healthy FuturesAll FFNov-24</v>
      </c>
      <c r="B23141" s="171" t="s">
        <v>46057</v>
      </c>
      <c r="C23141" s="171" t="s">
        <v>35025</v>
      </c>
      <c r="D23141" s="171" t="s">
        <v>80</v>
      </c>
      <c r="E23141" s="11">
        <v>45597</v>
      </c>
      <c r="F23141">
        <v>0</v>
      </c>
      <c r="G23141">
        <v>0</v>
      </c>
      <c r="I23141">
        <v>0</v>
      </c>
      <c r="J23141">
        <v>0</v>
      </c>
      <c r="L23141">
        <v>0</v>
      </c>
      <c r="N23141">
        <v>0</v>
      </c>
      <c r="P23141">
        <v>0</v>
      </c>
      <c r="Q23141">
        <v>0</v>
      </c>
      <c r="S23141">
        <v>0</v>
      </c>
    </row>
    <row r="23142" spans="1:19" x14ac:dyDescent="0.3">
      <c r="A23142" t="str">
        <f t="shared" si="25"/>
        <v>HillcrestAll FFNov-24</v>
      </c>
      <c r="B23142" s="171" t="s">
        <v>46058</v>
      </c>
      <c r="C23142" s="171" t="s">
        <v>146</v>
      </c>
      <c r="D23142" s="171" t="s">
        <v>80</v>
      </c>
      <c r="E23142" s="11">
        <v>45597</v>
      </c>
      <c r="F23142">
        <v>8</v>
      </c>
      <c r="G23142">
        <v>11.5</v>
      </c>
      <c r="I23142">
        <v>33</v>
      </c>
      <c r="J23142">
        <v>40</v>
      </c>
      <c r="L23142">
        <v>55</v>
      </c>
      <c r="N23142">
        <v>26</v>
      </c>
      <c r="P23142">
        <v>0</v>
      </c>
      <c r="Q23142">
        <v>0</v>
      </c>
      <c r="S23142">
        <v>7</v>
      </c>
    </row>
    <row r="23143" spans="1:19" x14ac:dyDescent="0.3">
      <c r="A23143" t="str">
        <f t="shared" si="25"/>
        <v>LAYCAll FFNov-24</v>
      </c>
      <c r="B23143" s="171" t="s">
        <v>46059</v>
      </c>
      <c r="C23143" s="171" t="s">
        <v>161</v>
      </c>
      <c r="D23143" s="171" t="s">
        <v>80</v>
      </c>
      <c r="E23143" s="11">
        <v>45597</v>
      </c>
      <c r="F23143">
        <v>2.5</v>
      </c>
      <c r="G23143">
        <v>3.5</v>
      </c>
      <c r="I23143">
        <v>8</v>
      </c>
      <c r="J23143">
        <v>15</v>
      </c>
      <c r="L23143">
        <v>21</v>
      </c>
      <c r="N23143">
        <v>7</v>
      </c>
      <c r="P23143">
        <v>0</v>
      </c>
      <c r="Q23143">
        <v>0</v>
      </c>
      <c r="S23143">
        <v>1</v>
      </c>
    </row>
    <row r="23144" spans="1:19" x14ac:dyDescent="0.3">
      <c r="A23144" t="str">
        <f t="shared" si="25"/>
        <v>LCSAll FFNov-24</v>
      </c>
      <c r="B23144" s="171" t="s">
        <v>46060</v>
      </c>
      <c r="C23144" s="171" t="s">
        <v>18252</v>
      </c>
      <c r="D23144" s="171" t="s">
        <v>80</v>
      </c>
      <c r="E23144" s="11">
        <v>45597</v>
      </c>
      <c r="F23144">
        <v>0</v>
      </c>
      <c r="G23144">
        <v>0</v>
      </c>
      <c r="I23144">
        <v>0</v>
      </c>
      <c r="J23144">
        <v>0</v>
      </c>
      <c r="L23144">
        <v>0</v>
      </c>
      <c r="N23144">
        <v>0</v>
      </c>
      <c r="P23144">
        <v>0</v>
      </c>
      <c r="Q23144">
        <v>0</v>
      </c>
      <c r="S23144">
        <v>0</v>
      </c>
    </row>
    <row r="23145" spans="1:19" x14ac:dyDescent="0.3">
      <c r="A23145" t="str">
        <f t="shared" si="25"/>
        <v>LESAll FFNov-24</v>
      </c>
      <c r="B23145" s="171" t="s">
        <v>46061</v>
      </c>
      <c r="C23145" s="171" t="s">
        <v>167</v>
      </c>
      <c r="D23145" s="171" t="s">
        <v>80</v>
      </c>
      <c r="E23145" s="11">
        <v>45597</v>
      </c>
      <c r="F23145">
        <v>2.5</v>
      </c>
      <c r="G23145">
        <v>2.5</v>
      </c>
      <c r="I23145">
        <v>11</v>
      </c>
      <c r="J23145">
        <v>35</v>
      </c>
      <c r="L23145">
        <v>35</v>
      </c>
      <c r="N23145">
        <v>11</v>
      </c>
      <c r="P23145">
        <v>0</v>
      </c>
      <c r="Q23145">
        <v>0</v>
      </c>
      <c r="S23145">
        <v>0</v>
      </c>
    </row>
    <row r="23146" spans="1:19" x14ac:dyDescent="0.3">
      <c r="A23146" t="str">
        <f t="shared" si="25"/>
        <v>MBI HSAll FFNov-24</v>
      </c>
      <c r="B23146" s="171" t="s">
        <v>46062</v>
      </c>
      <c r="C23146" s="171" t="s">
        <v>179</v>
      </c>
      <c r="D23146" s="171" t="s">
        <v>80</v>
      </c>
      <c r="E23146" s="11">
        <v>45597</v>
      </c>
      <c r="F23146">
        <v>11</v>
      </c>
      <c r="G23146">
        <v>15</v>
      </c>
      <c r="I23146">
        <v>55</v>
      </c>
      <c r="J23146">
        <v>98</v>
      </c>
      <c r="L23146">
        <v>130</v>
      </c>
      <c r="N23146">
        <v>54</v>
      </c>
      <c r="P23146">
        <v>0</v>
      </c>
      <c r="Q23146">
        <v>0</v>
      </c>
      <c r="S23146">
        <v>1</v>
      </c>
    </row>
    <row r="23147" spans="1:19" x14ac:dyDescent="0.3">
      <c r="A23147" t="str">
        <f t="shared" si="25"/>
        <v>MD Family ResourcesAll FFNov-24</v>
      </c>
      <c r="B23147" s="171" t="s">
        <v>46063</v>
      </c>
      <c r="C23147" s="171" t="s">
        <v>185</v>
      </c>
      <c r="D23147" s="171" t="s">
        <v>80</v>
      </c>
      <c r="E23147" s="11">
        <v>45597</v>
      </c>
      <c r="F23147">
        <v>1</v>
      </c>
      <c r="G23147">
        <v>8.5</v>
      </c>
      <c r="I23147">
        <v>3</v>
      </c>
      <c r="J23147">
        <v>5</v>
      </c>
      <c r="L23147">
        <v>42</v>
      </c>
      <c r="N23147">
        <v>3</v>
      </c>
      <c r="P23147">
        <v>0</v>
      </c>
      <c r="Q23147">
        <v>0</v>
      </c>
      <c r="S23147">
        <v>0</v>
      </c>
    </row>
    <row r="23148" spans="1:19" x14ac:dyDescent="0.3">
      <c r="A23148" t="str">
        <f t="shared" si="25"/>
        <v>PASSAll FFNov-24</v>
      </c>
      <c r="B23148" s="171" t="s">
        <v>46064</v>
      </c>
      <c r="C23148" s="171" t="s">
        <v>191</v>
      </c>
      <c r="D23148" s="171" t="s">
        <v>80</v>
      </c>
      <c r="E23148" s="11">
        <v>45597</v>
      </c>
      <c r="F23148">
        <v>10</v>
      </c>
      <c r="G23148">
        <v>13</v>
      </c>
      <c r="I23148">
        <v>69</v>
      </c>
      <c r="J23148">
        <v>92</v>
      </c>
      <c r="L23148">
        <v>107</v>
      </c>
      <c r="N23148">
        <v>60</v>
      </c>
      <c r="P23148">
        <v>0</v>
      </c>
      <c r="Q23148">
        <v>0</v>
      </c>
      <c r="S23148">
        <v>9</v>
      </c>
    </row>
    <row r="23149" spans="1:19" x14ac:dyDescent="0.3">
      <c r="A23149" t="str">
        <f t="shared" si="25"/>
        <v>RiversideAll FFNov-24</v>
      </c>
      <c r="B23149" s="171" t="s">
        <v>46065</v>
      </c>
      <c r="C23149" s="171" t="s">
        <v>212</v>
      </c>
      <c r="D23149" s="171" t="s">
        <v>80</v>
      </c>
      <c r="E23149" s="11">
        <v>45597</v>
      </c>
      <c r="F23149">
        <v>0</v>
      </c>
      <c r="G23149">
        <v>0</v>
      </c>
      <c r="I23149">
        <v>0</v>
      </c>
      <c r="J23149">
        <v>0</v>
      </c>
      <c r="L23149">
        <v>0</v>
      </c>
      <c r="N23149">
        <v>0</v>
      </c>
      <c r="P23149">
        <v>0</v>
      </c>
      <c r="Q23149">
        <v>0</v>
      </c>
      <c r="S23149">
        <v>0</v>
      </c>
    </row>
    <row r="23150" spans="1:19" x14ac:dyDescent="0.3">
      <c r="A23150" t="str">
        <f t="shared" si="25"/>
        <v>TFCCAll FFNov-24</v>
      </c>
      <c r="B23150" s="171" t="s">
        <v>46066</v>
      </c>
      <c r="C23150" s="171" t="s">
        <v>215</v>
      </c>
      <c r="D23150" s="171" t="s">
        <v>80</v>
      </c>
      <c r="E23150" s="11">
        <v>45597</v>
      </c>
      <c r="F23150">
        <v>0</v>
      </c>
      <c r="G23150">
        <v>0</v>
      </c>
      <c r="I23150">
        <v>0</v>
      </c>
      <c r="J23150">
        <v>0</v>
      </c>
      <c r="L23150">
        <v>0</v>
      </c>
      <c r="N23150">
        <v>0</v>
      </c>
      <c r="P23150">
        <v>0</v>
      </c>
      <c r="Q23150">
        <v>0</v>
      </c>
      <c r="S23150">
        <v>0</v>
      </c>
    </row>
    <row r="23151" spans="1:19" x14ac:dyDescent="0.3">
      <c r="A23151" t="str">
        <f t="shared" si="25"/>
        <v>UmbrellaAll FFNov-24</v>
      </c>
      <c r="B23151" s="171" t="s">
        <v>46067</v>
      </c>
      <c r="C23151" s="171" t="s">
        <v>35119</v>
      </c>
      <c r="D23151" s="171" t="s">
        <v>80</v>
      </c>
      <c r="E23151" s="11">
        <v>45597</v>
      </c>
      <c r="F23151">
        <v>8</v>
      </c>
      <c r="G23151">
        <v>8</v>
      </c>
      <c r="I23151">
        <v>34</v>
      </c>
      <c r="J23151">
        <v>74</v>
      </c>
      <c r="L23151">
        <v>74</v>
      </c>
      <c r="N23151">
        <v>33</v>
      </c>
      <c r="P23151">
        <v>0</v>
      </c>
      <c r="Q23151">
        <v>0</v>
      </c>
      <c r="S23151">
        <v>1</v>
      </c>
    </row>
    <row r="23152" spans="1:19" x14ac:dyDescent="0.3">
      <c r="A23152" t="str">
        <f t="shared" si="25"/>
        <v>UniversalAll FFNov-24</v>
      </c>
      <c r="B23152" s="171" t="s">
        <v>46068</v>
      </c>
      <c r="C23152" s="171" t="s">
        <v>221</v>
      </c>
      <c r="D23152" s="171" t="s">
        <v>80</v>
      </c>
      <c r="E23152" s="11">
        <v>45597</v>
      </c>
      <c r="F23152">
        <v>0</v>
      </c>
      <c r="G23152">
        <v>0</v>
      </c>
      <c r="I23152">
        <v>0</v>
      </c>
      <c r="J23152">
        <v>0</v>
      </c>
      <c r="L23152">
        <v>0</v>
      </c>
      <c r="N23152">
        <v>0</v>
      </c>
      <c r="P23152">
        <v>0</v>
      </c>
      <c r="Q23152">
        <v>0</v>
      </c>
      <c r="S23152">
        <v>0</v>
      </c>
    </row>
    <row r="23153" spans="1:19" x14ac:dyDescent="0.3">
      <c r="A23153" t="str">
        <f t="shared" si="25"/>
        <v>Wayne PlaceAll FFNov-24</v>
      </c>
      <c r="B23153" s="171" t="s">
        <v>46069</v>
      </c>
      <c r="C23153" s="171" t="s">
        <v>8233</v>
      </c>
      <c r="D23153" s="171" t="s">
        <v>80</v>
      </c>
      <c r="E23153" s="11">
        <v>45597</v>
      </c>
      <c r="F23153">
        <v>2</v>
      </c>
      <c r="G23153">
        <v>3</v>
      </c>
      <c r="I23153">
        <v>8</v>
      </c>
      <c r="J23153">
        <v>22</v>
      </c>
      <c r="L23153">
        <v>33</v>
      </c>
      <c r="N23153">
        <v>8</v>
      </c>
      <c r="P23153">
        <v>0</v>
      </c>
      <c r="Q23153">
        <v>0</v>
      </c>
      <c r="S23153">
        <v>0</v>
      </c>
    </row>
    <row r="23154" spans="1:19" x14ac:dyDescent="0.3">
      <c r="A23154" t="str">
        <f t="shared" si="25"/>
        <v>Youth VillagesAll FFNov-24</v>
      </c>
      <c r="B23154" s="171" t="s">
        <v>46070</v>
      </c>
      <c r="C23154" s="171" t="s">
        <v>233</v>
      </c>
      <c r="D23154" s="171" t="s">
        <v>80</v>
      </c>
      <c r="E23154" s="11">
        <v>45597</v>
      </c>
      <c r="F23154">
        <v>0</v>
      </c>
      <c r="G23154">
        <v>0</v>
      </c>
      <c r="I23154">
        <v>0</v>
      </c>
      <c r="J23154">
        <v>0</v>
      </c>
      <c r="L23154">
        <v>0</v>
      </c>
      <c r="N23154">
        <v>0</v>
      </c>
      <c r="P23154">
        <v>0</v>
      </c>
      <c r="Q23154">
        <v>0</v>
      </c>
      <c r="S23154">
        <v>0</v>
      </c>
    </row>
    <row r="23155" spans="1:19" x14ac:dyDescent="0.3">
      <c r="A23155" t="str">
        <f t="shared" si="25"/>
        <v>Medstar GeorgetownAll DCSNov-24</v>
      </c>
      <c r="B23155" s="171" t="s">
        <v>46071</v>
      </c>
      <c r="C23155" s="171" t="s">
        <v>24508</v>
      </c>
      <c r="D23155" s="171" t="s">
        <v>15341</v>
      </c>
      <c r="E23155" s="11">
        <v>45597</v>
      </c>
      <c r="F23155">
        <v>0</v>
      </c>
      <c r="G23155">
        <v>0</v>
      </c>
      <c r="I23155">
        <v>0</v>
      </c>
      <c r="J23155">
        <v>0</v>
      </c>
      <c r="L23155">
        <v>0</v>
      </c>
      <c r="N23155">
        <v>0</v>
      </c>
      <c r="P23155">
        <v>0</v>
      </c>
      <c r="Q23155">
        <v>0</v>
      </c>
      <c r="S23155">
        <v>0</v>
      </c>
    </row>
    <row r="23156" spans="1:19" x14ac:dyDescent="0.3">
      <c r="A23156" t="str">
        <f t="shared" si="25"/>
        <v>Medstar GeorgetownAll FFNov-24</v>
      </c>
      <c r="B23156" s="171" t="s">
        <v>46072</v>
      </c>
      <c r="C23156" s="171" t="s">
        <v>24508</v>
      </c>
      <c r="D23156" s="171" t="s">
        <v>80</v>
      </c>
      <c r="E23156" s="11">
        <v>45597</v>
      </c>
      <c r="F23156">
        <v>0</v>
      </c>
      <c r="G23156">
        <v>0</v>
      </c>
      <c r="I23156">
        <v>0</v>
      </c>
      <c r="J23156">
        <v>0</v>
      </c>
      <c r="L23156">
        <v>0</v>
      </c>
      <c r="N23156">
        <v>0</v>
      </c>
      <c r="P23156">
        <v>0</v>
      </c>
      <c r="Q23156">
        <v>0</v>
      </c>
      <c r="S23156">
        <v>0</v>
      </c>
    </row>
    <row r="23157" spans="1:19" x14ac:dyDescent="0.3">
      <c r="A23157" t="str">
        <f t="shared" si="25"/>
        <v>Community ConnectionsAll FFNov-24</v>
      </c>
      <c r="B23157" s="171" t="s">
        <v>46073</v>
      </c>
      <c r="C23157" s="171" t="s">
        <v>107</v>
      </c>
      <c r="D23157" s="171" t="s">
        <v>80</v>
      </c>
      <c r="E23157" s="11">
        <v>45597</v>
      </c>
      <c r="F23157">
        <v>0</v>
      </c>
      <c r="G23157">
        <v>0</v>
      </c>
      <c r="I23157">
        <v>0</v>
      </c>
      <c r="J23157">
        <v>0</v>
      </c>
      <c r="L23157">
        <v>0</v>
      </c>
      <c r="N23157">
        <v>0</v>
      </c>
      <c r="P23157">
        <v>0</v>
      </c>
      <c r="Q23157">
        <v>0</v>
      </c>
      <c r="S23157">
        <v>0</v>
      </c>
    </row>
    <row r="23158" spans="1:19" x14ac:dyDescent="0.3">
      <c r="A23158" t="str">
        <f t="shared" si="25"/>
        <v>Community ConnectionsAll DCSNov-24</v>
      </c>
      <c r="B23158" s="171" t="s">
        <v>46074</v>
      </c>
      <c r="C23158" s="171" t="s">
        <v>107</v>
      </c>
      <c r="D23158" s="171" t="s">
        <v>15341</v>
      </c>
      <c r="E23158" s="11">
        <v>45597</v>
      </c>
      <c r="F23158">
        <v>0</v>
      </c>
      <c r="G23158">
        <v>0</v>
      </c>
      <c r="I23158">
        <v>0</v>
      </c>
      <c r="J23158">
        <v>0</v>
      </c>
      <c r="L23158">
        <v>0</v>
      </c>
      <c r="N23158">
        <v>0</v>
      </c>
      <c r="P23158">
        <v>0</v>
      </c>
      <c r="Q23158">
        <v>0</v>
      </c>
      <c r="S23158">
        <v>0</v>
      </c>
    </row>
    <row r="23159" spans="1:19" x14ac:dyDescent="0.3">
      <c r="A23159" t="str">
        <f t="shared" si="25"/>
        <v>Marys CenterAll FFNov-24</v>
      </c>
      <c r="B23159" s="171" t="s">
        <v>46075</v>
      </c>
      <c r="C23159" s="171" t="s">
        <v>173</v>
      </c>
      <c r="D23159" s="171" t="s">
        <v>80</v>
      </c>
      <c r="E23159" s="11">
        <v>45597</v>
      </c>
      <c r="F23159">
        <v>5</v>
      </c>
      <c r="G23159">
        <v>6.5</v>
      </c>
      <c r="I23159">
        <v>6</v>
      </c>
      <c r="J23159">
        <v>29</v>
      </c>
      <c r="L23159">
        <v>37</v>
      </c>
      <c r="N23159">
        <v>6</v>
      </c>
      <c r="P23159">
        <v>0</v>
      </c>
      <c r="Q23159">
        <v>0</v>
      </c>
      <c r="S23159">
        <v>0</v>
      </c>
    </row>
    <row r="23160" spans="1:19" x14ac:dyDescent="0.3">
      <c r="A23160" t="str">
        <f t="shared" si="25"/>
        <v>Marys CenterAll DCSNov-24</v>
      </c>
      <c r="B23160" s="171" t="s">
        <v>46076</v>
      </c>
      <c r="C23160" s="171" t="s">
        <v>173</v>
      </c>
      <c r="D23160" s="171" t="s">
        <v>15341</v>
      </c>
      <c r="E23160" s="11">
        <v>45597</v>
      </c>
      <c r="F23160">
        <v>0</v>
      </c>
      <c r="G23160">
        <v>0</v>
      </c>
      <c r="I23160">
        <v>0</v>
      </c>
      <c r="J23160">
        <v>0</v>
      </c>
      <c r="L23160">
        <v>0</v>
      </c>
      <c r="N23160">
        <v>0</v>
      </c>
      <c r="P23160">
        <v>0</v>
      </c>
      <c r="Q23160">
        <v>0</v>
      </c>
      <c r="S23160">
        <v>0</v>
      </c>
    </row>
    <row r="23161" spans="1:19" x14ac:dyDescent="0.3">
      <c r="A23161" t="str">
        <f t="shared" si="25"/>
        <v>PIECEAll FFNov-24</v>
      </c>
      <c r="B23161" s="171" t="s">
        <v>46077</v>
      </c>
      <c r="C23161" s="171" t="s">
        <v>200</v>
      </c>
      <c r="D23161" s="171" t="s">
        <v>80</v>
      </c>
      <c r="E23161" s="11">
        <v>45597</v>
      </c>
      <c r="F23161">
        <v>6</v>
      </c>
      <c r="G23161">
        <v>5.5</v>
      </c>
      <c r="I23161">
        <v>8</v>
      </c>
      <c r="J23161">
        <v>29</v>
      </c>
      <c r="L23161">
        <v>27</v>
      </c>
      <c r="N23161">
        <v>7</v>
      </c>
      <c r="P23161">
        <v>0</v>
      </c>
      <c r="Q23161">
        <v>0</v>
      </c>
      <c r="S23161">
        <v>1</v>
      </c>
    </row>
    <row r="23162" spans="1:19" x14ac:dyDescent="0.3">
      <c r="A23162" t="str">
        <f t="shared" si="25"/>
        <v>PIECEAll DCSNov-24</v>
      </c>
      <c r="B23162" s="171" t="s">
        <v>46078</v>
      </c>
      <c r="C23162" s="171" t="s">
        <v>200</v>
      </c>
      <c r="D23162" s="171" t="s">
        <v>15341</v>
      </c>
      <c r="E23162" s="11">
        <v>45597</v>
      </c>
      <c r="F23162">
        <v>0</v>
      </c>
      <c r="G23162">
        <v>0</v>
      </c>
      <c r="I23162">
        <v>0</v>
      </c>
      <c r="J23162">
        <v>0</v>
      </c>
      <c r="L23162">
        <v>0</v>
      </c>
      <c r="N23162">
        <v>0</v>
      </c>
      <c r="P23162">
        <v>0</v>
      </c>
      <c r="Q23162">
        <v>0</v>
      </c>
      <c r="S23162">
        <v>0</v>
      </c>
    </row>
    <row r="23163" spans="1:19" x14ac:dyDescent="0.3">
      <c r="A23163" t="str">
        <f t="shared" si="25"/>
        <v>Adoptions TogetherAll CombinedNov-24</v>
      </c>
      <c r="B23163" s="171" t="s">
        <v>46079</v>
      </c>
      <c r="C23163" s="171" t="s">
        <v>73</v>
      </c>
      <c r="D23163" s="171" t="s">
        <v>4</v>
      </c>
      <c r="E23163" s="11">
        <v>45597</v>
      </c>
      <c r="F23163">
        <v>0</v>
      </c>
      <c r="G23163">
        <v>0</v>
      </c>
      <c r="I23163">
        <v>0</v>
      </c>
      <c r="J23163">
        <v>0</v>
      </c>
      <c r="L23163">
        <v>0</v>
      </c>
      <c r="N23163">
        <v>0</v>
      </c>
      <c r="P23163">
        <v>0</v>
      </c>
      <c r="Q23163">
        <v>0</v>
      </c>
      <c r="S23163">
        <v>0</v>
      </c>
    </row>
    <row r="23164" spans="1:19" x14ac:dyDescent="0.3">
      <c r="A23164" t="str">
        <f t="shared" si="25"/>
        <v>Better MorningsAll CombinedNov-24</v>
      </c>
      <c r="B23164" s="171" t="s">
        <v>46080</v>
      </c>
      <c r="C23164" s="171" t="s">
        <v>24891</v>
      </c>
      <c r="D23164" s="171" t="s">
        <v>4</v>
      </c>
      <c r="E23164" s="11">
        <v>45597</v>
      </c>
      <c r="F23164">
        <v>7</v>
      </c>
      <c r="G23164">
        <v>7</v>
      </c>
      <c r="I23164">
        <v>23</v>
      </c>
      <c r="J23164">
        <v>33</v>
      </c>
      <c r="L23164">
        <v>33</v>
      </c>
      <c r="N23164">
        <v>15</v>
      </c>
      <c r="P23164">
        <v>5</v>
      </c>
      <c r="Q23164">
        <v>6</v>
      </c>
      <c r="S23164">
        <v>8</v>
      </c>
    </row>
    <row r="23165" spans="1:19" x14ac:dyDescent="0.3">
      <c r="A23165" t="str">
        <f t="shared" si="25"/>
        <v>CatholicAll CombinedNov-24</v>
      </c>
      <c r="B23165" s="171" t="s">
        <v>46081</v>
      </c>
      <c r="C23165" s="171" t="s">
        <v>18229</v>
      </c>
      <c r="D23165" s="171" t="s">
        <v>4</v>
      </c>
      <c r="E23165" s="11">
        <v>45597</v>
      </c>
      <c r="F23165">
        <v>0</v>
      </c>
      <c r="G23165">
        <v>0</v>
      </c>
      <c r="I23165">
        <v>0</v>
      </c>
      <c r="J23165">
        <v>0</v>
      </c>
      <c r="L23165">
        <v>0</v>
      </c>
      <c r="N23165">
        <v>0</v>
      </c>
      <c r="P23165">
        <v>0</v>
      </c>
      <c r="Q23165">
        <v>0</v>
      </c>
      <c r="S23165">
        <v>0</v>
      </c>
    </row>
    <row r="23166" spans="1:19" x14ac:dyDescent="0.3">
      <c r="A23166" t="str">
        <f t="shared" si="25"/>
        <v>Community ConnectionsAll CombinedNov-24</v>
      </c>
      <c r="B23166" s="171" t="s">
        <v>46082</v>
      </c>
      <c r="C23166" s="171" t="s">
        <v>107</v>
      </c>
      <c r="D23166" s="171" t="s">
        <v>4</v>
      </c>
      <c r="E23166" s="11">
        <v>45597</v>
      </c>
      <c r="F23166">
        <v>0</v>
      </c>
      <c r="G23166">
        <v>0</v>
      </c>
      <c r="I23166">
        <v>0</v>
      </c>
      <c r="J23166">
        <v>0</v>
      </c>
      <c r="L23166">
        <v>0</v>
      </c>
      <c r="N23166">
        <v>0</v>
      </c>
      <c r="P23166">
        <v>0</v>
      </c>
      <c r="Q23166">
        <v>0</v>
      </c>
      <c r="S23166">
        <v>0</v>
      </c>
    </row>
    <row r="23167" spans="1:19" x14ac:dyDescent="0.3">
      <c r="A23167" t="str">
        <f t="shared" si="25"/>
        <v>ContemporaryAll CombinedNov-24</v>
      </c>
      <c r="B23167" s="171" t="s">
        <v>46083</v>
      </c>
      <c r="C23167" s="171" t="s">
        <v>9887</v>
      </c>
      <c r="D23167" s="171" t="s">
        <v>4</v>
      </c>
      <c r="E23167" s="11">
        <v>45597</v>
      </c>
      <c r="F23167">
        <v>0</v>
      </c>
      <c r="G23167">
        <v>0</v>
      </c>
      <c r="I23167">
        <v>0</v>
      </c>
      <c r="J23167">
        <v>0</v>
      </c>
      <c r="L23167">
        <v>0</v>
      </c>
      <c r="N23167">
        <v>0</v>
      </c>
      <c r="P23167">
        <v>0</v>
      </c>
      <c r="Q23167">
        <v>0</v>
      </c>
      <c r="S23167">
        <v>0</v>
      </c>
    </row>
    <row r="23168" spans="1:19" x14ac:dyDescent="0.3">
      <c r="A23168" t="str">
        <f t="shared" si="25"/>
        <v>DBH Family SupportAll CombinedNov-24</v>
      </c>
      <c r="B23168" s="171" t="s">
        <v>46084</v>
      </c>
      <c r="C23168" s="171" t="s">
        <v>35078</v>
      </c>
      <c r="D23168" s="171" t="s">
        <v>4</v>
      </c>
      <c r="E23168" s="11">
        <v>45597</v>
      </c>
      <c r="F23168">
        <v>0</v>
      </c>
      <c r="G23168">
        <v>0</v>
      </c>
      <c r="I23168">
        <v>0</v>
      </c>
      <c r="J23168">
        <v>0</v>
      </c>
      <c r="L23168">
        <v>0</v>
      </c>
      <c r="N23168">
        <v>0</v>
      </c>
      <c r="P23168">
        <v>0</v>
      </c>
      <c r="Q23168">
        <v>0</v>
      </c>
      <c r="S23168">
        <v>0</v>
      </c>
    </row>
    <row r="23169" spans="1:19" x14ac:dyDescent="0.3">
      <c r="A23169" t="str">
        <f t="shared" si="25"/>
        <v>Family MattersAll CombinedNov-24</v>
      </c>
      <c r="B23169" s="171" t="s">
        <v>46085</v>
      </c>
      <c r="C23169" s="171" t="s">
        <v>11260</v>
      </c>
      <c r="D23169" s="171" t="s">
        <v>4</v>
      </c>
      <c r="E23169" s="11">
        <v>45597</v>
      </c>
      <c r="F23169">
        <v>0</v>
      </c>
      <c r="G23169">
        <v>0</v>
      </c>
      <c r="I23169">
        <v>0</v>
      </c>
      <c r="J23169">
        <v>0</v>
      </c>
      <c r="L23169">
        <v>0</v>
      </c>
      <c r="N23169">
        <v>0</v>
      </c>
      <c r="P23169">
        <v>0</v>
      </c>
      <c r="Q23169">
        <v>0</v>
      </c>
      <c r="S23169">
        <v>0</v>
      </c>
    </row>
    <row r="23170" spans="1:19" x14ac:dyDescent="0.3">
      <c r="A23170" t="str">
        <f t="shared" si="25"/>
        <v>Federal CityAll CombinedNov-24</v>
      </c>
      <c r="B23170" s="171" t="s">
        <v>46086</v>
      </c>
      <c r="C23170" s="171" t="s">
        <v>122</v>
      </c>
      <c r="D23170" s="171" t="s">
        <v>4</v>
      </c>
      <c r="E23170" s="11">
        <v>45597</v>
      </c>
      <c r="F23170">
        <v>0</v>
      </c>
      <c r="G23170">
        <v>0</v>
      </c>
      <c r="I23170">
        <v>0</v>
      </c>
      <c r="J23170">
        <v>0</v>
      </c>
      <c r="L23170">
        <v>0</v>
      </c>
      <c r="N23170">
        <v>0</v>
      </c>
      <c r="P23170">
        <v>0</v>
      </c>
      <c r="Q23170">
        <v>0</v>
      </c>
      <c r="S23170">
        <v>0</v>
      </c>
    </row>
    <row r="23171" spans="1:19" x14ac:dyDescent="0.3">
      <c r="A23171" t="str">
        <f t="shared" si="25"/>
        <v>First Home CareAll CombinedNov-24</v>
      </c>
      <c r="B23171" s="171" t="s">
        <v>46087</v>
      </c>
      <c r="C23171" s="171" t="s">
        <v>125</v>
      </c>
      <c r="D23171" s="171" t="s">
        <v>4</v>
      </c>
      <c r="E23171" s="11">
        <v>45597</v>
      </c>
      <c r="F23171">
        <v>0</v>
      </c>
      <c r="G23171">
        <v>0</v>
      </c>
      <c r="I23171">
        <v>0</v>
      </c>
      <c r="J23171">
        <v>0</v>
      </c>
      <c r="L23171">
        <v>0</v>
      </c>
      <c r="N23171">
        <v>0</v>
      </c>
      <c r="P23171">
        <v>0</v>
      </c>
      <c r="Q23171">
        <v>0</v>
      </c>
      <c r="S23171">
        <v>0</v>
      </c>
    </row>
    <row r="23172" spans="1:19" x14ac:dyDescent="0.3">
      <c r="A23172" t="str">
        <f t="shared" si="25"/>
        <v>Foundations for Home &amp; CommunityAll CombinedNov-24</v>
      </c>
      <c r="B23172" s="171" t="s">
        <v>46088</v>
      </c>
      <c r="C23172" s="171" t="s">
        <v>14899</v>
      </c>
      <c r="D23172" s="171" t="s">
        <v>4</v>
      </c>
      <c r="E23172" s="11">
        <v>45597</v>
      </c>
      <c r="F23172">
        <v>0</v>
      </c>
      <c r="G23172">
        <v>0</v>
      </c>
      <c r="I23172">
        <v>0</v>
      </c>
      <c r="J23172">
        <v>0</v>
      </c>
      <c r="L23172">
        <v>0</v>
      </c>
      <c r="N23172">
        <v>0</v>
      </c>
      <c r="P23172">
        <v>0</v>
      </c>
      <c r="Q23172">
        <v>0</v>
      </c>
      <c r="S23172">
        <v>0</v>
      </c>
    </row>
    <row r="23173" spans="1:19" x14ac:dyDescent="0.3">
      <c r="A23173" t="str">
        <f t="shared" si="25"/>
        <v>FPSAll CombinedNov-24</v>
      </c>
      <c r="B23173" s="171" t="s">
        <v>46089</v>
      </c>
      <c r="C23173" s="171" t="s">
        <v>137</v>
      </c>
      <c r="D23173" s="171" t="s">
        <v>4</v>
      </c>
      <c r="E23173" s="11">
        <v>45597</v>
      </c>
      <c r="F23173">
        <v>0</v>
      </c>
      <c r="G23173">
        <v>0</v>
      </c>
      <c r="I23173">
        <v>0</v>
      </c>
      <c r="J23173">
        <v>0</v>
      </c>
      <c r="L23173">
        <v>0</v>
      </c>
      <c r="N23173">
        <v>0</v>
      </c>
      <c r="P23173">
        <v>0</v>
      </c>
      <c r="Q23173">
        <v>0</v>
      </c>
      <c r="S23173">
        <v>0</v>
      </c>
    </row>
    <row r="23174" spans="1:19" x14ac:dyDescent="0.3">
      <c r="A23174" t="str">
        <f t="shared" si="25"/>
        <v>Green DoorAll CombinedNov-24</v>
      </c>
      <c r="B23174" s="171" t="s">
        <v>46090</v>
      </c>
      <c r="C23174" s="171" t="s">
        <v>8615</v>
      </c>
      <c r="D23174" s="171" t="s">
        <v>4</v>
      </c>
      <c r="E23174" s="11">
        <v>45597</v>
      </c>
      <c r="F23174">
        <v>0</v>
      </c>
      <c r="G23174">
        <v>0</v>
      </c>
      <c r="I23174">
        <v>0</v>
      </c>
      <c r="J23174">
        <v>0</v>
      </c>
      <c r="L23174">
        <v>0</v>
      </c>
      <c r="N23174">
        <v>0</v>
      </c>
      <c r="P23174">
        <v>0</v>
      </c>
      <c r="Q23174">
        <v>0</v>
      </c>
      <c r="S23174">
        <v>0</v>
      </c>
    </row>
    <row r="23175" spans="1:19" x14ac:dyDescent="0.3">
      <c r="A23175" t="str">
        <f t="shared" si="25"/>
        <v>Healthy FuturesAll CombinedNov-24</v>
      </c>
      <c r="B23175" s="171" t="s">
        <v>46091</v>
      </c>
      <c r="C23175" s="171" t="s">
        <v>35025</v>
      </c>
      <c r="D23175" s="171" t="s">
        <v>4</v>
      </c>
      <c r="E23175" s="11">
        <v>45597</v>
      </c>
      <c r="F23175">
        <v>0</v>
      </c>
      <c r="G23175">
        <v>0</v>
      </c>
      <c r="I23175">
        <v>0</v>
      </c>
      <c r="J23175">
        <v>0</v>
      </c>
      <c r="L23175">
        <v>0</v>
      </c>
      <c r="N23175">
        <v>0</v>
      </c>
      <c r="P23175">
        <v>0</v>
      </c>
      <c r="Q23175">
        <v>0</v>
      </c>
      <c r="S23175">
        <v>0</v>
      </c>
    </row>
    <row r="23176" spans="1:19" x14ac:dyDescent="0.3">
      <c r="A23176" t="str">
        <f t="shared" si="25"/>
        <v>HillcrestAll CombinedNov-24</v>
      </c>
      <c r="B23176" s="171" t="s">
        <v>46092</v>
      </c>
      <c r="C23176" s="171" t="s">
        <v>146</v>
      </c>
      <c r="D23176" s="171" t="s">
        <v>4</v>
      </c>
      <c r="E23176" s="11">
        <v>45597</v>
      </c>
      <c r="F23176">
        <v>8</v>
      </c>
      <c r="G23176">
        <v>11.5</v>
      </c>
      <c r="I23176">
        <v>33</v>
      </c>
      <c r="J23176">
        <v>40</v>
      </c>
      <c r="L23176">
        <v>55</v>
      </c>
      <c r="N23176">
        <v>26</v>
      </c>
      <c r="P23176">
        <v>1</v>
      </c>
      <c r="Q23176">
        <v>1</v>
      </c>
      <c r="S23176">
        <v>7</v>
      </c>
    </row>
    <row r="23177" spans="1:19" x14ac:dyDescent="0.3">
      <c r="A23177" t="str">
        <f t="shared" si="25"/>
        <v>LAYCAll CombinedNov-24</v>
      </c>
      <c r="B23177" s="171" t="s">
        <v>46093</v>
      </c>
      <c r="C23177" s="171" t="s">
        <v>161</v>
      </c>
      <c r="D23177" s="171" t="s">
        <v>4</v>
      </c>
      <c r="E23177" s="11">
        <v>45597</v>
      </c>
      <c r="F23177">
        <v>2.5</v>
      </c>
      <c r="G23177">
        <v>3.5</v>
      </c>
      <c r="I23177">
        <v>8</v>
      </c>
      <c r="J23177">
        <v>15</v>
      </c>
      <c r="L23177">
        <v>21</v>
      </c>
      <c r="N23177">
        <v>7</v>
      </c>
      <c r="P23177">
        <v>0</v>
      </c>
      <c r="Q23177">
        <v>0</v>
      </c>
      <c r="S23177">
        <v>1</v>
      </c>
    </row>
    <row r="23178" spans="1:19" x14ac:dyDescent="0.3">
      <c r="A23178" t="str">
        <f t="shared" si="25"/>
        <v>LCSAll CombinedNov-24</v>
      </c>
      <c r="B23178" s="171" t="s">
        <v>46094</v>
      </c>
      <c r="C23178" s="171" t="s">
        <v>18252</v>
      </c>
      <c r="D23178" s="171" t="s">
        <v>4</v>
      </c>
      <c r="E23178" s="11">
        <v>45597</v>
      </c>
      <c r="F23178">
        <v>0</v>
      </c>
      <c r="G23178">
        <v>0</v>
      </c>
      <c r="I23178">
        <v>0</v>
      </c>
      <c r="J23178">
        <v>0</v>
      </c>
      <c r="L23178">
        <v>0</v>
      </c>
      <c r="N23178">
        <v>0</v>
      </c>
      <c r="P23178">
        <v>0</v>
      </c>
      <c r="Q23178">
        <v>0</v>
      </c>
      <c r="S23178">
        <v>0</v>
      </c>
    </row>
    <row r="23179" spans="1:19" x14ac:dyDescent="0.3">
      <c r="A23179" t="str">
        <f t="shared" si="25"/>
        <v>LESAll CombinedNov-24</v>
      </c>
      <c r="B23179" s="171" t="s">
        <v>46095</v>
      </c>
      <c r="C23179" s="171" t="s">
        <v>167</v>
      </c>
      <c r="D23179" s="171" t="s">
        <v>4</v>
      </c>
      <c r="E23179" s="11">
        <v>45597</v>
      </c>
      <c r="F23179">
        <v>2.5</v>
      </c>
      <c r="G23179">
        <v>2.5</v>
      </c>
      <c r="I23179">
        <v>11</v>
      </c>
      <c r="J23179">
        <v>35</v>
      </c>
      <c r="L23179">
        <v>35</v>
      </c>
      <c r="N23179">
        <v>11</v>
      </c>
      <c r="P23179">
        <v>1</v>
      </c>
      <c r="Q23179">
        <v>1</v>
      </c>
      <c r="S23179">
        <v>0</v>
      </c>
    </row>
    <row r="23180" spans="1:19" x14ac:dyDescent="0.3">
      <c r="A23180" t="str">
        <f t="shared" si="25"/>
        <v>Marys CenterAll CombinedNov-24</v>
      </c>
      <c r="B23180" s="171" t="s">
        <v>46096</v>
      </c>
      <c r="C23180" s="171" t="s">
        <v>173</v>
      </c>
      <c r="D23180" s="171" t="s">
        <v>4</v>
      </c>
      <c r="E23180" s="11">
        <v>45597</v>
      </c>
      <c r="F23180">
        <v>5</v>
      </c>
      <c r="G23180">
        <v>6.5</v>
      </c>
      <c r="I23180">
        <v>6</v>
      </c>
      <c r="J23180">
        <v>29</v>
      </c>
      <c r="L23180">
        <v>37</v>
      </c>
      <c r="N23180">
        <v>6</v>
      </c>
      <c r="P23180">
        <v>0</v>
      </c>
      <c r="Q23180">
        <v>2</v>
      </c>
      <c r="S23180">
        <v>0</v>
      </c>
    </row>
    <row r="23181" spans="1:19" x14ac:dyDescent="0.3">
      <c r="A23181" t="str">
        <f t="shared" si="25"/>
        <v>MBI HSAll CombinedNov-24</v>
      </c>
      <c r="B23181" s="171" t="s">
        <v>46097</v>
      </c>
      <c r="C23181" s="171" t="s">
        <v>179</v>
      </c>
      <c r="D23181" s="171" t="s">
        <v>4</v>
      </c>
      <c r="E23181" s="11">
        <v>45597</v>
      </c>
      <c r="F23181">
        <v>11</v>
      </c>
      <c r="G23181">
        <v>15</v>
      </c>
      <c r="I23181">
        <v>55</v>
      </c>
      <c r="J23181">
        <v>98</v>
      </c>
      <c r="L23181">
        <v>130</v>
      </c>
      <c r="N23181">
        <v>54</v>
      </c>
      <c r="P23181">
        <v>4</v>
      </c>
      <c r="Q23181">
        <v>5</v>
      </c>
      <c r="S23181">
        <v>1</v>
      </c>
    </row>
    <row r="23182" spans="1:19" x14ac:dyDescent="0.3">
      <c r="A23182" t="str">
        <f t="shared" si="25"/>
        <v>MD Family ResourcesAll CombinedNov-24</v>
      </c>
      <c r="B23182" s="171" t="s">
        <v>46098</v>
      </c>
      <c r="C23182" s="171" t="s">
        <v>185</v>
      </c>
      <c r="D23182" s="171" t="s">
        <v>4</v>
      </c>
      <c r="E23182" s="11">
        <v>45597</v>
      </c>
      <c r="F23182">
        <v>1</v>
      </c>
      <c r="G23182">
        <v>8.5</v>
      </c>
      <c r="I23182">
        <v>3</v>
      </c>
      <c r="J23182">
        <v>5</v>
      </c>
      <c r="L23182">
        <v>42</v>
      </c>
      <c r="N23182">
        <v>3</v>
      </c>
      <c r="P23182">
        <v>0</v>
      </c>
      <c r="Q23182">
        <v>0</v>
      </c>
      <c r="S23182">
        <v>0</v>
      </c>
    </row>
    <row r="23183" spans="1:19" x14ac:dyDescent="0.3">
      <c r="A23183" t="str">
        <f t="shared" si="25"/>
        <v>Medstar GeorgetownAll CombinedNov-24</v>
      </c>
      <c r="B23183" s="171" t="s">
        <v>46099</v>
      </c>
      <c r="C23183" s="171" t="s">
        <v>24508</v>
      </c>
      <c r="D23183" s="171" t="s">
        <v>4</v>
      </c>
      <c r="E23183" s="11">
        <v>45597</v>
      </c>
      <c r="F23183">
        <v>0</v>
      </c>
      <c r="G23183">
        <v>0</v>
      </c>
      <c r="I23183">
        <v>0</v>
      </c>
      <c r="J23183">
        <v>0</v>
      </c>
      <c r="L23183">
        <v>0</v>
      </c>
      <c r="N23183">
        <v>0</v>
      </c>
      <c r="P23183">
        <v>0</v>
      </c>
      <c r="Q23183">
        <v>0</v>
      </c>
      <c r="S23183">
        <v>0</v>
      </c>
    </row>
    <row r="23184" spans="1:19" x14ac:dyDescent="0.3">
      <c r="A23184" t="str">
        <f t="shared" si="25"/>
        <v>PASSAll CombinedNov-24</v>
      </c>
      <c r="B23184" s="171" t="s">
        <v>46100</v>
      </c>
      <c r="C23184" s="171" t="s">
        <v>191</v>
      </c>
      <c r="D23184" s="171" t="s">
        <v>4</v>
      </c>
      <c r="E23184" s="11">
        <v>45597</v>
      </c>
      <c r="F23184">
        <v>10</v>
      </c>
      <c r="G23184">
        <v>13</v>
      </c>
      <c r="I23184">
        <v>69</v>
      </c>
      <c r="J23184">
        <v>92</v>
      </c>
      <c r="L23184">
        <v>107</v>
      </c>
      <c r="N23184">
        <v>60</v>
      </c>
      <c r="P23184">
        <v>13</v>
      </c>
      <c r="Q23184">
        <v>15</v>
      </c>
      <c r="S23184">
        <v>9</v>
      </c>
    </row>
    <row r="23185" spans="1:19" x14ac:dyDescent="0.3">
      <c r="A23185" t="str">
        <f t="shared" si="25"/>
        <v>PIECEAll CombinedNov-24</v>
      </c>
      <c r="B23185" s="171" t="s">
        <v>46101</v>
      </c>
      <c r="C23185" s="171" t="s">
        <v>200</v>
      </c>
      <c r="D23185" s="171" t="s">
        <v>4</v>
      </c>
      <c r="E23185" s="11">
        <v>45597</v>
      </c>
      <c r="F23185">
        <v>6</v>
      </c>
      <c r="G23185">
        <v>5.5</v>
      </c>
      <c r="I23185">
        <v>8</v>
      </c>
      <c r="J23185">
        <v>29</v>
      </c>
      <c r="L23185">
        <v>27</v>
      </c>
      <c r="N23185">
        <v>7</v>
      </c>
      <c r="P23185">
        <v>0</v>
      </c>
      <c r="Q23185">
        <v>0</v>
      </c>
      <c r="S23185">
        <v>1</v>
      </c>
    </row>
    <row r="23186" spans="1:19" x14ac:dyDescent="0.3">
      <c r="A23186" t="str">
        <f t="shared" si="25"/>
        <v>RiversideAll CombinedNov-24</v>
      </c>
      <c r="B23186" s="171" t="s">
        <v>46102</v>
      </c>
      <c r="C23186" s="171" t="s">
        <v>212</v>
      </c>
      <c r="D23186" s="171" t="s">
        <v>4</v>
      </c>
      <c r="E23186" s="11">
        <v>45597</v>
      </c>
      <c r="F23186">
        <v>0</v>
      </c>
      <c r="G23186">
        <v>0</v>
      </c>
      <c r="I23186">
        <v>0</v>
      </c>
      <c r="J23186">
        <v>0</v>
      </c>
      <c r="L23186">
        <v>0</v>
      </c>
      <c r="N23186">
        <v>0</v>
      </c>
      <c r="P23186">
        <v>0</v>
      </c>
      <c r="Q23186">
        <v>0</v>
      </c>
      <c r="S23186">
        <v>0</v>
      </c>
    </row>
    <row r="23187" spans="1:19" x14ac:dyDescent="0.3">
      <c r="A23187" t="str">
        <f t="shared" si="25"/>
        <v>TFCCAll CombinedNov-24</v>
      </c>
      <c r="B23187" s="171" t="s">
        <v>46103</v>
      </c>
      <c r="C23187" s="171" t="s">
        <v>215</v>
      </c>
      <c r="D23187" s="171" t="s">
        <v>4</v>
      </c>
      <c r="E23187" s="11">
        <v>45597</v>
      </c>
      <c r="F23187">
        <v>0</v>
      </c>
      <c r="G23187">
        <v>0</v>
      </c>
      <c r="I23187">
        <v>0</v>
      </c>
      <c r="J23187">
        <v>0</v>
      </c>
      <c r="L23187">
        <v>0</v>
      </c>
      <c r="N23187">
        <v>0</v>
      </c>
      <c r="P23187">
        <v>0</v>
      </c>
      <c r="Q23187">
        <v>0</v>
      </c>
      <c r="S23187">
        <v>0</v>
      </c>
    </row>
    <row r="23188" spans="1:19" x14ac:dyDescent="0.3">
      <c r="A23188" t="str">
        <f t="shared" si="25"/>
        <v>UmbrellaAll CombinedNov-24</v>
      </c>
      <c r="B23188" s="171" t="s">
        <v>46104</v>
      </c>
      <c r="C23188" s="171" t="s">
        <v>35119</v>
      </c>
      <c r="D23188" s="171" t="s">
        <v>4</v>
      </c>
      <c r="E23188" s="11">
        <v>45597</v>
      </c>
      <c r="F23188">
        <v>8</v>
      </c>
      <c r="G23188">
        <v>8</v>
      </c>
      <c r="I23188">
        <v>34</v>
      </c>
      <c r="J23188">
        <v>74</v>
      </c>
      <c r="L23188">
        <v>74</v>
      </c>
      <c r="N23188">
        <v>33</v>
      </c>
      <c r="P23188">
        <v>0</v>
      </c>
      <c r="Q23188">
        <v>0</v>
      </c>
      <c r="S23188">
        <v>1</v>
      </c>
    </row>
    <row r="23189" spans="1:19" x14ac:dyDescent="0.3">
      <c r="A23189" t="str">
        <f t="shared" si="25"/>
        <v>UniversalAll CombinedNov-24</v>
      </c>
      <c r="B23189" s="171" t="s">
        <v>46105</v>
      </c>
      <c r="C23189" s="171" t="s">
        <v>221</v>
      </c>
      <c r="D23189" s="171" t="s">
        <v>4</v>
      </c>
      <c r="E23189" s="11">
        <v>45597</v>
      </c>
      <c r="F23189">
        <v>0</v>
      </c>
      <c r="G23189">
        <v>0</v>
      </c>
      <c r="I23189">
        <v>0</v>
      </c>
      <c r="J23189">
        <v>0</v>
      </c>
      <c r="L23189">
        <v>0</v>
      </c>
      <c r="N23189">
        <v>0</v>
      </c>
      <c r="P23189">
        <v>0</v>
      </c>
      <c r="Q23189">
        <v>0</v>
      </c>
      <c r="S23189">
        <v>0</v>
      </c>
    </row>
    <row r="23190" spans="1:19" x14ac:dyDescent="0.3">
      <c r="A23190" t="str">
        <f t="shared" ref="A23190:A23225" si="26">C23190&amp;" "&amp;D23190&amp;"Nov-24"</f>
        <v>Wayne PlaceAll CombinedNov-24</v>
      </c>
      <c r="B23190" s="171" t="s">
        <v>46106</v>
      </c>
      <c r="C23190" s="171" t="s">
        <v>8233</v>
      </c>
      <c r="D23190" s="171" t="s">
        <v>4</v>
      </c>
      <c r="E23190" s="11">
        <v>45597</v>
      </c>
      <c r="F23190">
        <v>2</v>
      </c>
      <c r="G23190">
        <v>3</v>
      </c>
      <c r="I23190">
        <v>8</v>
      </c>
      <c r="J23190">
        <v>22</v>
      </c>
      <c r="L23190">
        <v>33</v>
      </c>
      <c r="N23190">
        <v>8</v>
      </c>
      <c r="P23190">
        <v>0</v>
      </c>
      <c r="Q23190">
        <v>2</v>
      </c>
      <c r="S23190">
        <v>0</v>
      </c>
    </row>
    <row r="23191" spans="1:19" x14ac:dyDescent="0.3">
      <c r="A23191" t="str">
        <f t="shared" si="26"/>
        <v>Youth VillagesAll CombinedNov-24</v>
      </c>
      <c r="B23191" s="171" t="s">
        <v>46107</v>
      </c>
      <c r="C23191" s="171" t="s">
        <v>233</v>
      </c>
      <c r="D23191" s="171" t="s">
        <v>4</v>
      </c>
      <c r="E23191" s="11">
        <v>45597</v>
      </c>
      <c r="F23191">
        <v>0</v>
      </c>
      <c r="G23191">
        <v>0</v>
      </c>
      <c r="I23191">
        <v>0</v>
      </c>
      <c r="J23191">
        <v>0</v>
      </c>
      <c r="L23191">
        <v>0</v>
      </c>
      <c r="N23191">
        <v>0</v>
      </c>
      <c r="P23191">
        <v>0</v>
      </c>
      <c r="Q23191">
        <v>0</v>
      </c>
      <c r="S23191">
        <v>0</v>
      </c>
    </row>
    <row r="23192" spans="1:19" x14ac:dyDescent="0.3">
      <c r="A23192" t="str">
        <f t="shared" si="26"/>
        <v>All ABC ProvidersABC FFNov-24</v>
      </c>
      <c r="B23192" s="171" t="s">
        <v>46108</v>
      </c>
      <c r="C23192" s="171" t="s">
        <v>35128</v>
      </c>
      <c r="D23192" s="171" t="s">
        <v>80</v>
      </c>
      <c r="E23192" s="11">
        <v>45597</v>
      </c>
      <c r="F23192">
        <v>0</v>
      </c>
      <c r="G23192">
        <v>0</v>
      </c>
      <c r="I23192">
        <v>0</v>
      </c>
      <c r="J23192">
        <v>0</v>
      </c>
      <c r="L23192">
        <v>0</v>
      </c>
      <c r="N23192">
        <v>0</v>
      </c>
      <c r="P23192">
        <v>0</v>
      </c>
      <c r="Q23192">
        <v>0</v>
      </c>
      <c r="S23192">
        <v>0</v>
      </c>
    </row>
    <row r="23193" spans="1:19" x14ac:dyDescent="0.3">
      <c r="A23193" t="str">
        <f t="shared" si="26"/>
        <v>All ABC ProvidersABC CombinedNov-24</v>
      </c>
      <c r="B23193" s="171" t="s">
        <v>46109</v>
      </c>
      <c r="C23193" s="171" t="s">
        <v>35128</v>
      </c>
      <c r="D23193" s="171" t="s">
        <v>4</v>
      </c>
      <c r="E23193" s="11">
        <v>45597</v>
      </c>
      <c r="F23193">
        <v>0</v>
      </c>
      <c r="G23193">
        <v>0</v>
      </c>
      <c r="I23193">
        <v>0</v>
      </c>
      <c r="J23193">
        <v>0</v>
      </c>
      <c r="L23193">
        <v>0</v>
      </c>
      <c r="N23193">
        <v>0</v>
      </c>
      <c r="P23193">
        <v>0</v>
      </c>
      <c r="Q23193">
        <v>0</v>
      </c>
      <c r="S23193">
        <v>0</v>
      </c>
    </row>
    <row r="23194" spans="1:19" x14ac:dyDescent="0.3">
      <c r="A23194" t="str">
        <f t="shared" si="26"/>
        <v>All A-CRA ProvidersA-CRA FFNov-24</v>
      </c>
      <c r="B23194" s="171" t="s">
        <v>46110</v>
      </c>
      <c r="C23194" s="171" t="s">
        <v>79</v>
      </c>
      <c r="D23194" s="171" t="s">
        <v>80</v>
      </c>
      <c r="E23194" s="11">
        <v>45597</v>
      </c>
      <c r="F23194">
        <v>0</v>
      </c>
      <c r="G23194">
        <v>0</v>
      </c>
      <c r="I23194">
        <v>0</v>
      </c>
      <c r="J23194">
        <v>0</v>
      </c>
      <c r="L23194">
        <v>0</v>
      </c>
      <c r="N23194">
        <v>0</v>
      </c>
      <c r="P23194">
        <v>0</v>
      </c>
      <c r="Q23194">
        <v>0</v>
      </c>
      <c r="S23194">
        <v>0</v>
      </c>
    </row>
    <row r="23195" spans="1:19" x14ac:dyDescent="0.3">
      <c r="A23195" t="str">
        <f t="shared" si="26"/>
        <v>All A-CRA ProvidersA-CRA CombinedNov-24</v>
      </c>
      <c r="B23195" s="171" t="s">
        <v>46111</v>
      </c>
      <c r="C23195" s="171" t="s">
        <v>79</v>
      </c>
      <c r="D23195" s="171" t="s">
        <v>4</v>
      </c>
      <c r="E23195" s="11">
        <v>45597</v>
      </c>
      <c r="F23195">
        <v>0</v>
      </c>
      <c r="G23195">
        <v>0</v>
      </c>
      <c r="I23195">
        <v>0</v>
      </c>
      <c r="J23195">
        <v>0</v>
      </c>
      <c r="L23195">
        <v>0</v>
      </c>
      <c r="N23195">
        <v>0</v>
      </c>
      <c r="P23195">
        <v>0</v>
      </c>
      <c r="Q23195">
        <v>0</v>
      </c>
      <c r="S23195">
        <v>0</v>
      </c>
    </row>
    <row r="23196" spans="1:19" x14ac:dyDescent="0.3">
      <c r="A23196" t="str">
        <f t="shared" si="26"/>
        <v>All CPP-FV ProvidersCPP-FV FFNov-24</v>
      </c>
      <c r="B23196" s="171" t="s">
        <v>46112</v>
      </c>
      <c r="C23196" s="171" t="s">
        <v>83</v>
      </c>
      <c r="D23196" s="171" t="s">
        <v>80</v>
      </c>
      <c r="E23196" s="11">
        <v>45597</v>
      </c>
      <c r="F23196">
        <v>4.5</v>
      </c>
      <c r="G23196">
        <v>5</v>
      </c>
      <c r="I23196">
        <v>9</v>
      </c>
      <c r="J23196">
        <v>24</v>
      </c>
      <c r="L23196">
        <v>28</v>
      </c>
      <c r="N23196">
        <v>8</v>
      </c>
      <c r="P23196">
        <v>0</v>
      </c>
      <c r="Q23196">
        <v>0</v>
      </c>
      <c r="S23196">
        <v>1</v>
      </c>
    </row>
    <row r="23197" spans="1:19" x14ac:dyDescent="0.3">
      <c r="A23197" t="str">
        <f t="shared" si="26"/>
        <v>All CPP-FV ProvidersCPP-FV DCSNov-24</v>
      </c>
      <c r="B23197" s="171" t="s">
        <v>46113</v>
      </c>
      <c r="C23197" s="171" t="s">
        <v>83</v>
      </c>
      <c r="D23197" s="171" t="s">
        <v>15341</v>
      </c>
      <c r="E23197" s="11">
        <v>45597</v>
      </c>
      <c r="F23197">
        <v>0</v>
      </c>
      <c r="G23197">
        <v>0</v>
      </c>
      <c r="I23197">
        <v>0</v>
      </c>
      <c r="J23197">
        <v>0</v>
      </c>
      <c r="L23197">
        <v>0</v>
      </c>
      <c r="N23197">
        <v>0</v>
      </c>
      <c r="P23197">
        <v>0</v>
      </c>
      <c r="Q23197">
        <v>0</v>
      </c>
      <c r="S23197">
        <v>0</v>
      </c>
    </row>
    <row r="23198" spans="1:19" x14ac:dyDescent="0.3">
      <c r="A23198" t="str">
        <f t="shared" si="26"/>
        <v>All CPP-FV ProvidersCPP-FV CombinedNov-24</v>
      </c>
      <c r="B23198" s="171" t="s">
        <v>46114</v>
      </c>
      <c r="C23198" s="171" t="s">
        <v>83</v>
      </c>
      <c r="D23198" s="171" t="s">
        <v>4</v>
      </c>
      <c r="E23198" s="11">
        <v>45597</v>
      </c>
      <c r="F23198">
        <v>4.5</v>
      </c>
      <c r="G23198">
        <v>5</v>
      </c>
      <c r="I23198">
        <v>9</v>
      </c>
      <c r="J23198">
        <v>24</v>
      </c>
      <c r="L23198">
        <v>28</v>
      </c>
      <c r="N23198">
        <v>8</v>
      </c>
      <c r="P23198">
        <v>0</v>
      </c>
      <c r="Q23198">
        <v>0</v>
      </c>
      <c r="S23198">
        <v>1</v>
      </c>
    </row>
    <row r="23199" spans="1:19" x14ac:dyDescent="0.3">
      <c r="A23199" t="str">
        <f t="shared" si="26"/>
        <v>All FFT ProvidersFFT FFNov-24</v>
      </c>
      <c r="B23199" s="171" t="s">
        <v>46115</v>
      </c>
      <c r="C23199" s="171" t="s">
        <v>86</v>
      </c>
      <c r="D23199" s="171" t="s">
        <v>80</v>
      </c>
      <c r="E23199" s="11">
        <v>45597</v>
      </c>
      <c r="F23199">
        <v>5</v>
      </c>
      <c r="G23199">
        <v>8</v>
      </c>
      <c r="I23199">
        <v>22</v>
      </c>
      <c r="J23199">
        <v>29</v>
      </c>
      <c r="L23199">
        <v>44</v>
      </c>
      <c r="N23199">
        <v>18</v>
      </c>
      <c r="P23199">
        <v>1</v>
      </c>
      <c r="Q23199">
        <v>1</v>
      </c>
      <c r="S23199">
        <v>4</v>
      </c>
    </row>
    <row r="23200" spans="1:19" x14ac:dyDescent="0.3">
      <c r="A23200" t="str">
        <f t="shared" si="26"/>
        <v>All FFT ProvidersFFT CombinedNov-24</v>
      </c>
      <c r="B23200" s="171" t="s">
        <v>46116</v>
      </c>
      <c r="C23200" s="171" t="s">
        <v>86</v>
      </c>
      <c r="D23200" s="171" t="s">
        <v>4</v>
      </c>
      <c r="E23200" s="11">
        <v>45597</v>
      </c>
      <c r="F23200">
        <v>5</v>
      </c>
      <c r="G23200">
        <v>8</v>
      </c>
      <c r="I23200">
        <v>22</v>
      </c>
      <c r="J23200">
        <v>29</v>
      </c>
      <c r="L23200">
        <v>44</v>
      </c>
      <c r="N23200">
        <v>18</v>
      </c>
      <c r="P23200">
        <v>1</v>
      </c>
      <c r="Q23200">
        <v>1</v>
      </c>
      <c r="S23200">
        <v>4</v>
      </c>
    </row>
    <row r="23201" spans="1:19" x14ac:dyDescent="0.3">
      <c r="A23201" t="str">
        <f t="shared" si="26"/>
        <v>All IHCBS ProvidersIHCBS FFNov-24</v>
      </c>
      <c r="B23201" s="171" t="s">
        <v>46117</v>
      </c>
      <c r="C23201" s="171" t="s">
        <v>40284</v>
      </c>
      <c r="D23201" s="171" t="s">
        <v>80</v>
      </c>
      <c r="E23201" s="11">
        <v>45597</v>
      </c>
      <c r="F23201">
        <v>11</v>
      </c>
      <c r="G23201">
        <v>16</v>
      </c>
      <c r="I23201">
        <v>36</v>
      </c>
      <c r="J23201">
        <v>44</v>
      </c>
      <c r="L23201">
        <v>64</v>
      </c>
      <c r="N23201">
        <v>28</v>
      </c>
      <c r="P23201">
        <v>5</v>
      </c>
      <c r="Q23201">
        <v>6</v>
      </c>
      <c r="S23201">
        <v>8</v>
      </c>
    </row>
    <row r="23202" spans="1:19" x14ac:dyDescent="0.3">
      <c r="A23202" t="str">
        <f t="shared" si="26"/>
        <v>All IHCBS ProvidersIHCBS CombinedNov-24</v>
      </c>
      <c r="B23202" s="171" t="s">
        <v>46118</v>
      </c>
      <c r="C23202" s="171" t="s">
        <v>40284</v>
      </c>
      <c r="D23202" s="171" t="s">
        <v>4</v>
      </c>
      <c r="E23202" s="11">
        <v>45597</v>
      </c>
      <c r="F23202">
        <v>11</v>
      </c>
      <c r="G23202">
        <v>16</v>
      </c>
      <c r="I23202">
        <v>36</v>
      </c>
      <c r="J23202">
        <v>44</v>
      </c>
      <c r="L23202">
        <v>64</v>
      </c>
      <c r="N23202">
        <v>28</v>
      </c>
      <c r="P23202">
        <v>5</v>
      </c>
      <c r="Q23202">
        <v>6</v>
      </c>
      <c r="S23202">
        <v>8</v>
      </c>
    </row>
    <row r="23203" spans="1:19" x14ac:dyDescent="0.3">
      <c r="A23203" t="str">
        <f t="shared" si="26"/>
        <v>All MST ProvidersMST FFNov-24</v>
      </c>
      <c r="B23203" s="171" t="s">
        <v>46119</v>
      </c>
      <c r="C23203" s="171" t="s">
        <v>89</v>
      </c>
      <c r="D23203" s="171" t="s">
        <v>80</v>
      </c>
      <c r="E23203" s="11">
        <v>45597</v>
      </c>
      <c r="F23203">
        <v>2</v>
      </c>
      <c r="G23203">
        <v>4</v>
      </c>
      <c r="I23203">
        <v>7</v>
      </c>
      <c r="J23203">
        <v>10</v>
      </c>
      <c r="L23203">
        <v>20</v>
      </c>
      <c r="N23203">
        <v>6</v>
      </c>
      <c r="P23203">
        <v>3</v>
      </c>
      <c r="Q23203">
        <v>4</v>
      </c>
      <c r="S23203">
        <v>1</v>
      </c>
    </row>
    <row r="23204" spans="1:19" x14ac:dyDescent="0.3">
      <c r="A23204" t="str">
        <f t="shared" si="26"/>
        <v>All MST ProvidersMST CombinedNov-24</v>
      </c>
      <c r="B23204" s="171" t="s">
        <v>46120</v>
      </c>
      <c r="C23204" s="171" t="s">
        <v>89</v>
      </c>
      <c r="D23204" s="171" t="s">
        <v>4</v>
      </c>
      <c r="E23204" s="11">
        <v>45597</v>
      </c>
      <c r="F23204">
        <v>2</v>
      </c>
      <c r="G23204">
        <v>4</v>
      </c>
      <c r="I23204">
        <v>7</v>
      </c>
      <c r="J23204">
        <v>10</v>
      </c>
      <c r="L23204">
        <v>20</v>
      </c>
      <c r="N23204">
        <v>6</v>
      </c>
      <c r="P23204">
        <v>3</v>
      </c>
      <c r="Q23204">
        <v>4</v>
      </c>
      <c r="S23204">
        <v>1</v>
      </c>
    </row>
    <row r="23205" spans="1:19" x14ac:dyDescent="0.3">
      <c r="A23205" t="str">
        <f t="shared" si="26"/>
        <v>All MST-PSB ProvidersMST-PSB FFNov-24</v>
      </c>
      <c r="B23205" s="171" t="s">
        <v>46121</v>
      </c>
      <c r="C23205" s="171" t="s">
        <v>92</v>
      </c>
      <c r="D23205" s="171" t="s">
        <v>80</v>
      </c>
      <c r="E23205" s="11">
        <v>45597</v>
      </c>
      <c r="F23205">
        <v>0</v>
      </c>
      <c r="G23205">
        <v>0</v>
      </c>
      <c r="I23205">
        <v>0</v>
      </c>
      <c r="J23205">
        <v>0</v>
      </c>
      <c r="L23205">
        <v>0</v>
      </c>
      <c r="N23205">
        <v>0</v>
      </c>
      <c r="P23205">
        <v>0</v>
      </c>
      <c r="Q23205">
        <v>0</v>
      </c>
      <c r="S23205">
        <v>0</v>
      </c>
    </row>
    <row r="23206" spans="1:19" x14ac:dyDescent="0.3">
      <c r="A23206" t="str">
        <f t="shared" si="26"/>
        <v>All MST-PSB ProvidersMST-PSB CombinedNov-24</v>
      </c>
      <c r="B23206" s="171" t="s">
        <v>46122</v>
      </c>
      <c r="C23206" s="171" t="s">
        <v>92</v>
      </c>
      <c r="D23206" s="171" t="s">
        <v>4</v>
      </c>
      <c r="E23206" s="11">
        <v>45597</v>
      </c>
      <c r="F23206">
        <v>0</v>
      </c>
      <c r="G23206">
        <v>0</v>
      </c>
      <c r="I23206">
        <v>0</v>
      </c>
      <c r="J23206">
        <v>0</v>
      </c>
      <c r="L23206">
        <v>0</v>
      </c>
      <c r="N23206">
        <v>0</v>
      </c>
      <c r="P23206">
        <v>0</v>
      </c>
      <c r="Q23206">
        <v>0</v>
      </c>
      <c r="S23206">
        <v>0</v>
      </c>
    </row>
    <row r="23207" spans="1:19" x14ac:dyDescent="0.3">
      <c r="A23207" t="str">
        <f t="shared" si="26"/>
        <v>All PCIT ProvidersPCIT FFNov-24</v>
      </c>
      <c r="B23207" s="171" t="s">
        <v>46123</v>
      </c>
      <c r="C23207" s="171" t="s">
        <v>95</v>
      </c>
      <c r="D23207" s="171" t="s">
        <v>80</v>
      </c>
      <c r="E23207" s="11">
        <v>45597</v>
      </c>
      <c r="F23207">
        <v>3.5</v>
      </c>
      <c r="G23207">
        <v>3.5</v>
      </c>
      <c r="I23207">
        <v>3</v>
      </c>
      <c r="J23207">
        <v>18</v>
      </c>
      <c r="L23207">
        <v>18</v>
      </c>
      <c r="N23207">
        <v>3</v>
      </c>
      <c r="P23207">
        <v>0</v>
      </c>
      <c r="Q23207">
        <v>1</v>
      </c>
      <c r="S23207">
        <v>0</v>
      </c>
    </row>
    <row r="23208" spans="1:19" x14ac:dyDescent="0.3">
      <c r="A23208" t="str">
        <f t="shared" si="26"/>
        <v>All PCIT ProvidersPCIT DCSNov-24</v>
      </c>
      <c r="B23208" s="171" t="s">
        <v>46124</v>
      </c>
      <c r="C23208" s="171" t="s">
        <v>95</v>
      </c>
      <c r="D23208" s="171" t="s">
        <v>15341</v>
      </c>
      <c r="E23208" s="11">
        <v>45597</v>
      </c>
      <c r="F23208">
        <v>0</v>
      </c>
      <c r="G23208">
        <v>0</v>
      </c>
      <c r="I23208">
        <v>0</v>
      </c>
      <c r="J23208">
        <v>0</v>
      </c>
      <c r="L23208">
        <v>0</v>
      </c>
      <c r="N23208">
        <v>0</v>
      </c>
      <c r="P23208">
        <v>0</v>
      </c>
      <c r="Q23208">
        <v>0</v>
      </c>
      <c r="S23208">
        <v>0</v>
      </c>
    </row>
    <row r="23209" spans="1:19" x14ac:dyDescent="0.3">
      <c r="A23209" t="str">
        <f t="shared" si="26"/>
        <v>All PCIT ProvidersPCIT CombinedNov-24</v>
      </c>
      <c r="B23209" s="171" t="s">
        <v>46125</v>
      </c>
      <c r="C23209" s="171" t="s">
        <v>95</v>
      </c>
      <c r="D23209" s="171" t="s">
        <v>4</v>
      </c>
      <c r="E23209" s="11">
        <v>45597</v>
      </c>
      <c r="F23209">
        <v>3.5</v>
      </c>
      <c r="G23209">
        <v>3.5</v>
      </c>
      <c r="I23209">
        <v>3</v>
      </c>
      <c r="J23209">
        <v>18</v>
      </c>
      <c r="L23209">
        <v>18</v>
      </c>
      <c r="N23209">
        <v>3</v>
      </c>
      <c r="P23209">
        <v>0</v>
      </c>
      <c r="Q23209">
        <v>1</v>
      </c>
      <c r="S23209">
        <v>0</v>
      </c>
    </row>
    <row r="23210" spans="1:19" x14ac:dyDescent="0.3">
      <c r="A23210" t="str">
        <f t="shared" si="26"/>
        <v>All PCIT-T ProvidersPCIT-T FFNov-24</v>
      </c>
      <c r="B23210" s="171" t="s">
        <v>46126</v>
      </c>
      <c r="C23210" s="171" t="s">
        <v>35161</v>
      </c>
      <c r="D23210" s="171" t="s">
        <v>80</v>
      </c>
      <c r="E23210" s="11">
        <v>45597</v>
      </c>
      <c r="F23210">
        <v>3</v>
      </c>
      <c r="G23210">
        <v>3.5</v>
      </c>
      <c r="I23210">
        <v>2</v>
      </c>
      <c r="J23210">
        <v>16</v>
      </c>
      <c r="L23210">
        <v>18</v>
      </c>
      <c r="N23210">
        <v>2</v>
      </c>
      <c r="P23210">
        <v>0</v>
      </c>
      <c r="Q23210">
        <v>1</v>
      </c>
      <c r="S23210">
        <v>0</v>
      </c>
    </row>
    <row r="23211" spans="1:19" x14ac:dyDescent="0.3">
      <c r="A23211" t="str">
        <f t="shared" si="26"/>
        <v>All PCIT-T ProvidersPCIT-T CombinedNov-24</v>
      </c>
      <c r="B23211" s="171" t="s">
        <v>46127</v>
      </c>
      <c r="C23211" s="171" t="s">
        <v>35161</v>
      </c>
      <c r="D23211" s="171" t="s">
        <v>4</v>
      </c>
      <c r="E23211" s="11">
        <v>45597</v>
      </c>
      <c r="F23211">
        <v>3</v>
      </c>
      <c r="G23211">
        <v>3.5</v>
      </c>
      <c r="I23211">
        <v>2</v>
      </c>
      <c r="J23211">
        <v>16</v>
      </c>
      <c r="L23211">
        <v>18</v>
      </c>
      <c r="N23211">
        <v>2</v>
      </c>
      <c r="P23211">
        <v>0</v>
      </c>
      <c r="Q23211">
        <v>1</v>
      </c>
      <c r="S23211">
        <v>0</v>
      </c>
    </row>
    <row r="23212" spans="1:19" x14ac:dyDescent="0.3">
      <c r="A23212" t="str">
        <f t="shared" si="26"/>
        <v>All SFCR ProvidersSFCR FFNov-24</v>
      </c>
      <c r="B23212" s="171" t="s">
        <v>46128</v>
      </c>
      <c r="C23212" s="171" t="s">
        <v>19659</v>
      </c>
      <c r="D23212" s="171" t="s">
        <v>80</v>
      </c>
      <c r="E23212" s="11">
        <v>45597</v>
      </c>
      <c r="F23212">
        <v>0</v>
      </c>
      <c r="G23212">
        <v>0</v>
      </c>
      <c r="I23212">
        <v>0</v>
      </c>
      <c r="J23212">
        <v>0</v>
      </c>
      <c r="L23212">
        <v>0</v>
      </c>
      <c r="N23212">
        <v>0</v>
      </c>
      <c r="P23212">
        <v>0</v>
      </c>
      <c r="Q23212">
        <v>0</v>
      </c>
      <c r="S23212">
        <v>0</v>
      </c>
    </row>
    <row r="23213" spans="1:19" x14ac:dyDescent="0.3">
      <c r="A23213" t="str">
        <f t="shared" si="26"/>
        <v>All SFCR ProvidersSFCR CombinedNov-24</v>
      </c>
      <c r="B23213" s="171" t="s">
        <v>46129</v>
      </c>
      <c r="C23213" s="171" t="s">
        <v>19659</v>
      </c>
      <c r="D23213" s="171" t="s">
        <v>4</v>
      </c>
      <c r="E23213" s="11">
        <v>45597</v>
      </c>
      <c r="F23213">
        <v>0</v>
      </c>
      <c r="G23213">
        <v>0</v>
      </c>
      <c r="I23213">
        <v>0</v>
      </c>
      <c r="J23213">
        <v>0</v>
      </c>
      <c r="L23213">
        <v>0</v>
      </c>
      <c r="N23213">
        <v>0</v>
      </c>
      <c r="P23213">
        <v>0</v>
      </c>
      <c r="Q23213">
        <v>0</v>
      </c>
      <c r="S23213">
        <v>0</v>
      </c>
    </row>
    <row r="23214" spans="1:19" x14ac:dyDescent="0.3">
      <c r="A23214" t="str">
        <f t="shared" si="26"/>
        <v>All TF-CBT ProvidersTF-CBT FFNov-24</v>
      </c>
      <c r="B23214" s="171" t="s">
        <v>46130</v>
      </c>
      <c r="C23214" s="171" t="s">
        <v>98</v>
      </c>
      <c r="D23214" s="171" t="s">
        <v>80</v>
      </c>
      <c r="E23214" s="11">
        <v>45597</v>
      </c>
      <c r="F23214">
        <v>7.5</v>
      </c>
      <c r="G23214">
        <v>13</v>
      </c>
      <c r="I23214">
        <v>24</v>
      </c>
      <c r="J23214">
        <v>43</v>
      </c>
      <c r="L23214">
        <v>72</v>
      </c>
      <c r="N23214">
        <v>18</v>
      </c>
      <c r="P23214">
        <v>0</v>
      </c>
      <c r="Q23214">
        <v>0</v>
      </c>
      <c r="S23214">
        <v>6</v>
      </c>
    </row>
    <row r="23215" spans="1:19" x14ac:dyDescent="0.3">
      <c r="A23215" t="str">
        <f t="shared" si="26"/>
        <v>All TF-CBT ProvidersTF-CBT CombinedNov-24</v>
      </c>
      <c r="B23215" s="171" t="s">
        <v>46131</v>
      </c>
      <c r="C23215" s="171" t="s">
        <v>98</v>
      </c>
      <c r="D23215" s="171" t="s">
        <v>4</v>
      </c>
      <c r="E23215" s="11">
        <v>45597</v>
      </c>
      <c r="F23215">
        <v>7.5</v>
      </c>
      <c r="G23215">
        <v>13</v>
      </c>
      <c r="I23215">
        <v>24</v>
      </c>
      <c r="J23215">
        <v>43</v>
      </c>
      <c r="L23215">
        <v>72</v>
      </c>
      <c r="N23215">
        <v>18</v>
      </c>
      <c r="P23215">
        <v>0</v>
      </c>
      <c r="Q23215">
        <v>0</v>
      </c>
      <c r="S23215">
        <v>6</v>
      </c>
    </row>
    <row r="23216" spans="1:19" x14ac:dyDescent="0.3">
      <c r="A23216" t="str">
        <f t="shared" si="26"/>
        <v>All TIP ProvidersTIP FFNov-24</v>
      </c>
      <c r="B23216" s="171" t="s">
        <v>46132</v>
      </c>
      <c r="C23216" s="171" t="s">
        <v>101</v>
      </c>
      <c r="D23216" s="171" t="s">
        <v>80</v>
      </c>
      <c r="E23216" s="11">
        <v>45597</v>
      </c>
      <c r="F23216">
        <v>25.5</v>
      </c>
      <c r="G23216">
        <v>28.5</v>
      </c>
      <c r="I23216">
        <v>151</v>
      </c>
      <c r="J23216">
        <v>283</v>
      </c>
      <c r="L23216">
        <v>316</v>
      </c>
      <c r="N23216">
        <v>143</v>
      </c>
      <c r="P23216">
        <v>15</v>
      </c>
      <c r="Q23216">
        <v>19</v>
      </c>
      <c r="S23216">
        <v>8</v>
      </c>
    </row>
    <row r="23217" spans="1:19" x14ac:dyDescent="0.3">
      <c r="A23217" t="str">
        <f t="shared" si="26"/>
        <v>All TIP ProvidersTIP CombinedNov-24</v>
      </c>
      <c r="B23217" s="171" t="s">
        <v>46133</v>
      </c>
      <c r="C23217" s="171" t="s">
        <v>101</v>
      </c>
      <c r="D23217" s="171" t="s">
        <v>4</v>
      </c>
      <c r="E23217" s="11">
        <v>45597</v>
      </c>
      <c r="F23217">
        <v>25.5</v>
      </c>
      <c r="G23217">
        <v>28.5</v>
      </c>
      <c r="I23217">
        <v>151</v>
      </c>
      <c r="J23217">
        <v>283</v>
      </c>
      <c r="L23217">
        <v>316</v>
      </c>
      <c r="N23217">
        <v>143</v>
      </c>
      <c r="P23217">
        <v>15</v>
      </c>
      <c r="Q23217">
        <v>19</v>
      </c>
      <c r="S23217">
        <v>8</v>
      </c>
    </row>
    <row r="23218" spans="1:19" x14ac:dyDescent="0.3">
      <c r="A23218" t="str">
        <f t="shared" si="26"/>
        <v>All TST ProvidersTST FFNov-24</v>
      </c>
      <c r="B23218" s="171" t="s">
        <v>46134</v>
      </c>
      <c r="C23218" s="171" t="s">
        <v>6843</v>
      </c>
      <c r="D23218" s="171" t="s">
        <v>80</v>
      </c>
      <c r="E23218" s="11">
        <v>45597</v>
      </c>
      <c r="F23218">
        <v>1</v>
      </c>
      <c r="G23218">
        <v>2.5</v>
      </c>
      <c r="I23218">
        <v>4</v>
      </c>
      <c r="J23218">
        <v>5</v>
      </c>
      <c r="L23218">
        <v>14</v>
      </c>
      <c r="N23218">
        <v>4</v>
      </c>
      <c r="P23218">
        <v>0</v>
      </c>
      <c r="Q23218">
        <v>0</v>
      </c>
      <c r="S23218">
        <v>0</v>
      </c>
    </row>
    <row r="23219" spans="1:19" x14ac:dyDescent="0.3">
      <c r="A23219" t="str">
        <f t="shared" si="26"/>
        <v>All TST ProvidersTST CombinedNov-24</v>
      </c>
      <c r="B23219" s="171" t="s">
        <v>46135</v>
      </c>
      <c r="C23219" s="171" t="s">
        <v>6843</v>
      </c>
      <c r="D23219" s="171" t="s">
        <v>4</v>
      </c>
      <c r="E23219" s="11">
        <v>45597</v>
      </c>
      <c r="F23219">
        <v>1</v>
      </c>
      <c r="G23219">
        <v>2.5</v>
      </c>
      <c r="I23219">
        <v>4</v>
      </c>
      <c r="J23219">
        <v>5</v>
      </c>
      <c r="L23219">
        <v>14</v>
      </c>
      <c r="N23219">
        <v>4</v>
      </c>
      <c r="P23219">
        <v>0</v>
      </c>
      <c r="Q23219">
        <v>0</v>
      </c>
      <c r="S23219">
        <v>0</v>
      </c>
    </row>
    <row r="23220" spans="1:19" x14ac:dyDescent="0.3">
      <c r="A23220" t="str">
        <f t="shared" si="26"/>
        <v>Families First ProvidersAll FFNov-24</v>
      </c>
      <c r="B23220" s="171" t="s">
        <v>46136</v>
      </c>
      <c r="C23220" s="171" t="s">
        <v>12995</v>
      </c>
      <c r="D23220" s="171" t="s">
        <v>80</v>
      </c>
      <c r="E23220" s="11">
        <v>45597</v>
      </c>
      <c r="F23220">
        <v>63</v>
      </c>
      <c r="G23220">
        <v>84</v>
      </c>
      <c r="I23220">
        <v>258</v>
      </c>
      <c r="J23220">
        <v>472</v>
      </c>
      <c r="L23220">
        <v>594</v>
      </c>
      <c r="N23220">
        <v>230</v>
      </c>
      <c r="O23220" t="s">
        <v>16361</v>
      </c>
      <c r="P23220">
        <v>24</v>
      </c>
      <c r="Q23220">
        <v>32</v>
      </c>
      <c r="S23220">
        <v>28</v>
      </c>
    </row>
    <row r="23221" spans="1:19" x14ac:dyDescent="0.3">
      <c r="A23221" t="str">
        <f t="shared" si="26"/>
        <v>DC Seed ProvidersAll DCSNov-24</v>
      </c>
      <c r="B23221" s="171" t="s">
        <v>46137</v>
      </c>
      <c r="C23221" s="171" t="s">
        <v>15504</v>
      </c>
      <c r="D23221" s="171" t="s">
        <v>15341</v>
      </c>
      <c r="E23221" s="11">
        <v>45597</v>
      </c>
      <c r="F23221">
        <v>0</v>
      </c>
      <c r="G23221">
        <v>0</v>
      </c>
      <c r="I23221">
        <v>0</v>
      </c>
      <c r="J23221">
        <v>0</v>
      </c>
      <c r="L23221">
        <v>0</v>
      </c>
      <c r="N23221">
        <v>0</v>
      </c>
      <c r="O23221" t="s">
        <v>16361</v>
      </c>
      <c r="P23221">
        <v>0</v>
      </c>
      <c r="Q23221">
        <v>0</v>
      </c>
      <c r="S23221">
        <v>0</v>
      </c>
    </row>
    <row r="23222" spans="1:19" x14ac:dyDescent="0.3">
      <c r="A23222" t="str">
        <f t="shared" si="26"/>
        <v>Trauma ProvidersAll FFNov-24</v>
      </c>
      <c r="B23222" s="171" t="s">
        <v>46138</v>
      </c>
      <c r="C23222" s="171" t="s">
        <v>15511</v>
      </c>
      <c r="D23222" s="171" t="s">
        <v>80</v>
      </c>
      <c r="E23222" s="11">
        <v>45597</v>
      </c>
      <c r="F23222">
        <v>18.5</v>
      </c>
      <c r="G23222">
        <v>25</v>
      </c>
      <c r="H23222">
        <v>201</v>
      </c>
      <c r="I23222">
        <v>38</v>
      </c>
      <c r="J23222">
        <v>101</v>
      </c>
      <c r="L23222">
        <v>136</v>
      </c>
      <c r="N23222">
        <v>31</v>
      </c>
      <c r="P23222">
        <v>0</v>
      </c>
      <c r="Q23222">
        <v>2</v>
      </c>
      <c r="S23222">
        <v>7</v>
      </c>
    </row>
    <row r="23223" spans="1:19" x14ac:dyDescent="0.3">
      <c r="A23223" t="str">
        <f t="shared" si="26"/>
        <v>Trauma ProvidersAll DCSNov-24</v>
      </c>
      <c r="B23223" s="171" t="s">
        <v>46139</v>
      </c>
      <c r="C23223" s="171" t="s">
        <v>15511</v>
      </c>
      <c r="D23223" s="171" t="s">
        <v>15341</v>
      </c>
      <c r="E23223" s="11">
        <v>45597</v>
      </c>
      <c r="F23223">
        <v>0</v>
      </c>
      <c r="G23223">
        <v>0</v>
      </c>
      <c r="I23223">
        <v>0</v>
      </c>
      <c r="J23223">
        <v>0</v>
      </c>
      <c r="L23223">
        <v>0</v>
      </c>
      <c r="N23223">
        <v>0</v>
      </c>
      <c r="P23223">
        <v>0</v>
      </c>
      <c r="Q23223">
        <v>0</v>
      </c>
      <c r="S23223">
        <v>0</v>
      </c>
    </row>
    <row r="23224" spans="1:19" x14ac:dyDescent="0.3">
      <c r="A23224" t="str">
        <f t="shared" si="26"/>
        <v>Trauma ProvidersAll CombinedNov-24</v>
      </c>
      <c r="B23224" s="171" t="s">
        <v>46140</v>
      </c>
      <c r="C23224" s="171" t="s">
        <v>15511</v>
      </c>
      <c r="D23224" s="171" t="s">
        <v>4</v>
      </c>
      <c r="E23224" s="11">
        <v>45597</v>
      </c>
      <c r="F23224">
        <v>18.5</v>
      </c>
      <c r="G23224">
        <v>25</v>
      </c>
      <c r="I23224">
        <v>38</v>
      </c>
      <c r="J23224">
        <v>101</v>
      </c>
      <c r="L23224">
        <v>136</v>
      </c>
      <c r="N23224">
        <v>31</v>
      </c>
      <c r="P23224">
        <v>0</v>
      </c>
      <c r="Q23224">
        <v>2</v>
      </c>
      <c r="S23224">
        <v>7</v>
      </c>
    </row>
    <row r="23225" spans="1:19" x14ac:dyDescent="0.3">
      <c r="A23225" t="str">
        <f t="shared" si="26"/>
        <v>AllAll CombinedNov-24</v>
      </c>
      <c r="B23225" s="171" t="s">
        <v>46141</v>
      </c>
      <c r="C23225" s="171" t="s">
        <v>104</v>
      </c>
      <c r="D23225" s="171" t="s">
        <v>4</v>
      </c>
      <c r="E23225" s="11">
        <v>45597</v>
      </c>
      <c r="F23225">
        <v>63</v>
      </c>
      <c r="G23225">
        <v>84</v>
      </c>
      <c r="I23225">
        <v>258</v>
      </c>
      <c r="J23225">
        <v>472</v>
      </c>
      <c r="L23225">
        <v>594</v>
      </c>
      <c r="N23225">
        <v>230</v>
      </c>
      <c r="P23225">
        <v>24</v>
      </c>
      <c r="Q23225">
        <v>32</v>
      </c>
      <c r="S23225">
        <v>28</v>
      </c>
    </row>
    <row r="23226" spans="1:19" x14ac:dyDescent="0.3">
      <c r="A23226" t="str">
        <f>C23226&amp;" "&amp;D23226&amp;"Dec-24"</f>
        <v>DBH Parent SupportABC FFDec-24</v>
      </c>
      <c r="B23226" s="171" t="s">
        <v>46143</v>
      </c>
      <c r="C23226" s="171" t="s">
        <v>34754</v>
      </c>
      <c r="D23226" s="171" t="s">
        <v>80</v>
      </c>
      <c r="E23226" s="11">
        <v>45627</v>
      </c>
      <c r="F23226">
        <v>0</v>
      </c>
      <c r="G23226">
        <v>0</v>
      </c>
      <c r="I23226">
        <v>0</v>
      </c>
      <c r="J23226">
        <v>0</v>
      </c>
      <c r="L23226">
        <v>0</v>
      </c>
      <c r="N23226">
        <v>0</v>
      </c>
      <c r="P23226">
        <v>0</v>
      </c>
      <c r="Q23226">
        <v>0</v>
      </c>
      <c r="S23226">
        <v>0</v>
      </c>
    </row>
    <row r="23227" spans="1:19" x14ac:dyDescent="0.3">
      <c r="A23227" t="str">
        <f t="shared" ref="A23227:A23290" si="27">C23227&amp;" "&amp;D23227&amp;"Dec-24"</f>
        <v>Healthy FuturesABC FFDec-24</v>
      </c>
      <c r="B23227" s="171" t="s">
        <v>46144</v>
      </c>
      <c r="C23227" s="171" t="s">
        <v>34757</v>
      </c>
      <c r="D23227" s="171" t="s">
        <v>80</v>
      </c>
      <c r="E23227" s="11">
        <v>45627</v>
      </c>
      <c r="F23227">
        <v>0</v>
      </c>
      <c r="G23227">
        <v>0</v>
      </c>
      <c r="I23227">
        <v>0</v>
      </c>
      <c r="J23227">
        <v>0</v>
      </c>
      <c r="L23227">
        <v>0</v>
      </c>
      <c r="N23227">
        <v>0</v>
      </c>
      <c r="P23227">
        <v>0</v>
      </c>
      <c r="Q23227">
        <v>0</v>
      </c>
      <c r="S23227">
        <v>0</v>
      </c>
    </row>
    <row r="23228" spans="1:19" x14ac:dyDescent="0.3">
      <c r="A23228" t="str">
        <f t="shared" si="27"/>
        <v>Marys CenterABC FFDec-24</v>
      </c>
      <c r="B23228" s="171" t="s">
        <v>46145</v>
      </c>
      <c r="C23228" s="171" t="s">
        <v>34760</v>
      </c>
      <c r="D23228" s="171" t="s">
        <v>80</v>
      </c>
      <c r="E23228" s="11">
        <v>45627</v>
      </c>
      <c r="F23228">
        <v>0</v>
      </c>
      <c r="G23228">
        <v>0</v>
      </c>
      <c r="I23228">
        <v>0</v>
      </c>
      <c r="J23228">
        <v>0</v>
      </c>
      <c r="L23228">
        <v>0</v>
      </c>
      <c r="N23228">
        <v>0</v>
      </c>
      <c r="P23228">
        <v>0</v>
      </c>
      <c r="Q23228">
        <v>0</v>
      </c>
      <c r="S23228">
        <v>0</v>
      </c>
    </row>
    <row r="23229" spans="1:19" x14ac:dyDescent="0.3">
      <c r="A23229" t="str">
        <f t="shared" si="27"/>
        <v>Medstar GeorgetownABC FFDec-24</v>
      </c>
      <c r="B23229" s="171" t="s">
        <v>46146</v>
      </c>
      <c r="C23229" s="171" t="s">
        <v>34763</v>
      </c>
      <c r="D23229" s="171" t="s">
        <v>80</v>
      </c>
      <c r="E23229" s="11">
        <v>45627</v>
      </c>
      <c r="F23229">
        <v>0</v>
      </c>
      <c r="G23229">
        <v>0</v>
      </c>
      <c r="I23229">
        <v>0</v>
      </c>
      <c r="J23229">
        <v>0</v>
      </c>
      <c r="L23229">
        <v>0</v>
      </c>
      <c r="N23229">
        <v>0</v>
      </c>
      <c r="P23229">
        <v>0</v>
      </c>
      <c r="Q23229">
        <v>0</v>
      </c>
      <c r="S23229">
        <v>0</v>
      </c>
    </row>
    <row r="23230" spans="1:19" x14ac:dyDescent="0.3">
      <c r="A23230" t="str">
        <f t="shared" si="27"/>
        <v>PIECEABC FFDec-24</v>
      </c>
      <c r="B23230" s="171" t="s">
        <v>46147</v>
      </c>
      <c r="C23230" s="171" t="s">
        <v>34766</v>
      </c>
      <c r="D23230" s="171" t="s">
        <v>80</v>
      </c>
      <c r="E23230" s="11">
        <v>45627</v>
      </c>
      <c r="F23230">
        <v>0</v>
      </c>
      <c r="G23230">
        <v>0</v>
      </c>
      <c r="I23230">
        <v>0</v>
      </c>
      <c r="J23230">
        <v>0</v>
      </c>
      <c r="L23230">
        <v>0</v>
      </c>
      <c r="N23230">
        <v>0</v>
      </c>
      <c r="P23230">
        <v>0</v>
      </c>
      <c r="Q23230">
        <v>0</v>
      </c>
      <c r="S23230">
        <v>0</v>
      </c>
    </row>
    <row r="23231" spans="1:19" x14ac:dyDescent="0.3">
      <c r="A23231" t="str">
        <f t="shared" si="27"/>
        <v>Federal CityA-CRA FFDec-24</v>
      </c>
      <c r="B23231" s="171" t="s">
        <v>46148</v>
      </c>
      <c r="C23231" s="171" t="s">
        <v>119</v>
      </c>
      <c r="D23231" s="171" t="s">
        <v>80</v>
      </c>
      <c r="E23231" s="11">
        <v>45627</v>
      </c>
      <c r="F23231">
        <v>0</v>
      </c>
      <c r="G23231">
        <v>0</v>
      </c>
      <c r="I23231">
        <v>0</v>
      </c>
      <c r="J23231">
        <v>0</v>
      </c>
      <c r="L23231">
        <v>0</v>
      </c>
      <c r="N23231">
        <v>0</v>
      </c>
      <c r="P23231">
        <v>0</v>
      </c>
      <c r="Q23231">
        <v>0</v>
      </c>
      <c r="S23231">
        <v>0</v>
      </c>
    </row>
    <row r="23232" spans="1:19" x14ac:dyDescent="0.3">
      <c r="A23232" t="str">
        <f t="shared" si="27"/>
        <v>HillcrestA-CRA FFDec-24</v>
      </c>
      <c r="B23232" s="171" t="s">
        <v>46149</v>
      </c>
      <c r="C23232" s="171" t="s">
        <v>143</v>
      </c>
      <c r="D23232" s="171" t="s">
        <v>80</v>
      </c>
      <c r="E23232" s="11">
        <v>45627</v>
      </c>
      <c r="F23232">
        <v>0</v>
      </c>
      <c r="G23232">
        <v>0</v>
      </c>
      <c r="I23232">
        <v>0</v>
      </c>
      <c r="J23232">
        <v>0</v>
      </c>
      <c r="L23232">
        <v>0</v>
      </c>
      <c r="N23232">
        <v>0</v>
      </c>
      <c r="P23232">
        <v>0</v>
      </c>
      <c r="Q23232">
        <v>0</v>
      </c>
      <c r="S23232">
        <v>0</v>
      </c>
    </row>
    <row r="23233" spans="1:19" x14ac:dyDescent="0.3">
      <c r="A23233" t="str">
        <f t="shared" si="27"/>
        <v>LAYCA-CRA FFDec-24</v>
      </c>
      <c r="B23233" s="171" t="s">
        <v>46150</v>
      </c>
      <c r="C23233" s="171" t="s">
        <v>158</v>
      </c>
      <c r="D23233" s="171" t="s">
        <v>80</v>
      </c>
      <c r="E23233" s="11">
        <v>45627</v>
      </c>
      <c r="F23233">
        <v>0</v>
      </c>
      <c r="G23233">
        <v>0</v>
      </c>
      <c r="I23233">
        <v>0</v>
      </c>
      <c r="J23233">
        <v>0</v>
      </c>
      <c r="L23233">
        <v>0</v>
      </c>
      <c r="N23233">
        <v>0</v>
      </c>
      <c r="P23233">
        <v>0</v>
      </c>
      <c r="Q23233">
        <v>0</v>
      </c>
      <c r="S23233">
        <v>0</v>
      </c>
    </row>
    <row r="23234" spans="1:19" x14ac:dyDescent="0.3">
      <c r="A23234" t="str">
        <f t="shared" si="27"/>
        <v>RiversideA-CRA FFDec-24</v>
      </c>
      <c r="B23234" s="171" t="s">
        <v>46151</v>
      </c>
      <c r="C23234" s="171" t="s">
        <v>209</v>
      </c>
      <c r="D23234" s="171" t="s">
        <v>80</v>
      </c>
      <c r="E23234" s="11">
        <v>45627</v>
      </c>
      <c r="F23234">
        <v>0</v>
      </c>
      <c r="G23234">
        <v>0</v>
      </c>
      <c r="I23234">
        <v>0</v>
      </c>
      <c r="J23234">
        <v>0</v>
      </c>
      <c r="L23234">
        <v>0</v>
      </c>
      <c r="N23234">
        <v>0</v>
      </c>
      <c r="P23234">
        <v>0</v>
      </c>
      <c r="Q23234">
        <v>0</v>
      </c>
      <c r="S23234">
        <v>0</v>
      </c>
    </row>
    <row r="23235" spans="1:19" x14ac:dyDescent="0.3">
      <c r="A23235" t="str">
        <f t="shared" si="27"/>
        <v>Adoptions TogetherCPP-FV FFDec-24</v>
      </c>
      <c r="B23235" s="171" t="s">
        <v>46152</v>
      </c>
      <c r="C23235" s="171" t="s">
        <v>76</v>
      </c>
      <c r="D23235" s="171" t="s">
        <v>80</v>
      </c>
      <c r="E23235" s="11">
        <v>45627</v>
      </c>
      <c r="F23235">
        <v>0</v>
      </c>
      <c r="G23235">
        <v>0</v>
      </c>
      <c r="I23235">
        <v>0</v>
      </c>
      <c r="J23235">
        <v>0</v>
      </c>
      <c r="L23235">
        <v>0</v>
      </c>
      <c r="N23235">
        <v>0</v>
      </c>
      <c r="P23235">
        <v>0</v>
      </c>
      <c r="Q23235">
        <v>0</v>
      </c>
      <c r="S23235">
        <v>0</v>
      </c>
    </row>
    <row r="23236" spans="1:19" x14ac:dyDescent="0.3">
      <c r="A23236" t="str">
        <f t="shared" si="27"/>
        <v>Community ConnectionsCPP-FV DCSDec-24</v>
      </c>
      <c r="B23236" s="171" t="s">
        <v>46153</v>
      </c>
      <c r="C23236" s="171" t="s">
        <v>15340</v>
      </c>
      <c r="D23236" s="171" t="s">
        <v>15341</v>
      </c>
      <c r="E23236" s="11">
        <v>45627</v>
      </c>
      <c r="F23236">
        <v>0</v>
      </c>
      <c r="G23236">
        <v>0</v>
      </c>
      <c r="I23236">
        <v>0</v>
      </c>
      <c r="J23236">
        <v>0</v>
      </c>
      <c r="L23236">
        <v>0</v>
      </c>
      <c r="N23236">
        <v>0</v>
      </c>
      <c r="P23236">
        <v>0</v>
      </c>
      <c r="Q23236">
        <v>0</v>
      </c>
      <c r="S23236">
        <v>0</v>
      </c>
    </row>
    <row r="23237" spans="1:19" x14ac:dyDescent="0.3">
      <c r="A23237" t="str">
        <f t="shared" si="27"/>
        <v>Community ConnectionsCPP-FV FFDec-24</v>
      </c>
      <c r="B23237" s="171" t="s">
        <v>46154</v>
      </c>
      <c r="C23237" s="171" t="s">
        <v>15340</v>
      </c>
      <c r="D23237" s="171" t="s">
        <v>80</v>
      </c>
      <c r="E23237" s="11">
        <v>45627</v>
      </c>
      <c r="F23237">
        <v>0</v>
      </c>
      <c r="G23237">
        <v>0</v>
      </c>
      <c r="I23237">
        <v>0</v>
      </c>
      <c r="J23237">
        <v>0</v>
      </c>
      <c r="L23237">
        <v>0</v>
      </c>
      <c r="N23237">
        <v>0</v>
      </c>
      <c r="P23237">
        <v>0</v>
      </c>
      <c r="Q23237">
        <v>0</v>
      </c>
      <c r="S23237">
        <v>0</v>
      </c>
    </row>
    <row r="23238" spans="1:19" x14ac:dyDescent="0.3">
      <c r="A23238" t="str">
        <f t="shared" si="27"/>
        <v>Foundations for Home &amp; CommunityCPP-FV DCSDec-24</v>
      </c>
      <c r="B23238" s="171" t="s">
        <v>46155</v>
      </c>
      <c r="C23238" s="171" t="s">
        <v>15344</v>
      </c>
      <c r="D23238" s="171" t="s">
        <v>15341</v>
      </c>
      <c r="E23238" s="11">
        <v>45627</v>
      </c>
      <c r="F23238">
        <v>0</v>
      </c>
      <c r="G23238">
        <v>0</v>
      </c>
      <c r="I23238">
        <v>0</v>
      </c>
      <c r="J23238">
        <v>0</v>
      </c>
      <c r="L23238">
        <v>0</v>
      </c>
      <c r="N23238">
        <v>0</v>
      </c>
      <c r="P23238">
        <v>0</v>
      </c>
      <c r="Q23238">
        <v>0</v>
      </c>
      <c r="S23238">
        <v>0</v>
      </c>
    </row>
    <row r="23239" spans="1:19" x14ac:dyDescent="0.3">
      <c r="A23239" t="str">
        <f t="shared" si="27"/>
        <v>Marys CenterCPP-FV DCSDec-24</v>
      </c>
      <c r="B23239" s="171" t="s">
        <v>46156</v>
      </c>
      <c r="C23239" s="171" t="s">
        <v>15347</v>
      </c>
      <c r="D23239" s="171" t="s">
        <v>15341</v>
      </c>
      <c r="E23239" s="11">
        <v>45627</v>
      </c>
      <c r="F23239">
        <v>0</v>
      </c>
      <c r="G23239">
        <v>0</v>
      </c>
      <c r="I23239">
        <v>0</v>
      </c>
      <c r="J23239">
        <v>0</v>
      </c>
      <c r="L23239">
        <v>0</v>
      </c>
      <c r="N23239">
        <v>0</v>
      </c>
      <c r="P23239">
        <v>0</v>
      </c>
      <c r="Q23239">
        <v>0</v>
      </c>
      <c r="S23239">
        <v>0</v>
      </c>
    </row>
    <row r="23240" spans="1:19" x14ac:dyDescent="0.3">
      <c r="A23240" t="str">
        <f t="shared" si="27"/>
        <v>Marys CenterCPP-FV FFDec-24</v>
      </c>
      <c r="B23240" s="171" t="s">
        <v>46157</v>
      </c>
      <c r="C23240" s="171" t="s">
        <v>15347</v>
      </c>
      <c r="D23240" s="171" t="s">
        <v>80</v>
      </c>
      <c r="E23240" s="11">
        <v>45627</v>
      </c>
      <c r="F23240">
        <v>1.5</v>
      </c>
      <c r="G23240">
        <v>2.5</v>
      </c>
      <c r="I23240">
        <v>7</v>
      </c>
      <c r="J23240">
        <v>9</v>
      </c>
      <c r="L23240">
        <v>15</v>
      </c>
      <c r="N23240">
        <v>6</v>
      </c>
      <c r="P23240">
        <v>0</v>
      </c>
      <c r="Q23240">
        <v>0</v>
      </c>
      <c r="S23240">
        <v>1</v>
      </c>
    </row>
    <row r="23241" spans="1:19" x14ac:dyDescent="0.3">
      <c r="A23241" t="str">
        <f t="shared" si="27"/>
        <v>PIECECPP-FV DCSDec-24</v>
      </c>
      <c r="B23241" s="171" t="s">
        <v>46158</v>
      </c>
      <c r="C23241" s="171" t="s">
        <v>203</v>
      </c>
      <c r="D23241" s="171" t="s">
        <v>15341</v>
      </c>
      <c r="E23241" s="11">
        <v>45627</v>
      </c>
      <c r="F23241">
        <v>0</v>
      </c>
      <c r="G23241">
        <v>0</v>
      </c>
      <c r="I23241">
        <v>0</v>
      </c>
      <c r="J23241">
        <v>0</v>
      </c>
      <c r="L23241">
        <v>0</v>
      </c>
      <c r="N23241">
        <v>0</v>
      </c>
      <c r="P23241">
        <v>0</v>
      </c>
      <c r="Q23241">
        <v>0</v>
      </c>
      <c r="S23241">
        <v>0</v>
      </c>
    </row>
    <row r="23242" spans="1:19" x14ac:dyDescent="0.3">
      <c r="A23242" t="str">
        <f t="shared" si="27"/>
        <v>PIECECPP-FV FFDec-24</v>
      </c>
      <c r="B23242" s="171" t="s">
        <v>46159</v>
      </c>
      <c r="C23242" s="171" t="s">
        <v>203</v>
      </c>
      <c r="D23242" s="171" t="s">
        <v>80</v>
      </c>
      <c r="E23242" s="11">
        <v>45627</v>
      </c>
      <c r="F23242">
        <v>3</v>
      </c>
      <c r="G23242">
        <v>2.5</v>
      </c>
      <c r="I23242">
        <v>4</v>
      </c>
      <c r="J23242">
        <v>15</v>
      </c>
      <c r="L23242">
        <v>13</v>
      </c>
      <c r="N23242">
        <v>4</v>
      </c>
      <c r="P23242">
        <v>0</v>
      </c>
      <c r="Q23242">
        <v>0</v>
      </c>
      <c r="S23242">
        <v>0</v>
      </c>
    </row>
    <row r="23243" spans="1:19" x14ac:dyDescent="0.3">
      <c r="A23243" t="str">
        <f t="shared" si="27"/>
        <v>Medstar GeorgetownCPP-FV DCSDec-24</v>
      </c>
      <c r="B23243" s="171" t="s">
        <v>46160</v>
      </c>
      <c r="C23243" s="171" t="s">
        <v>24281</v>
      </c>
      <c r="D23243" s="171" t="s">
        <v>15341</v>
      </c>
      <c r="E23243" s="11">
        <v>45627</v>
      </c>
      <c r="F23243">
        <v>0</v>
      </c>
      <c r="G23243">
        <v>0</v>
      </c>
      <c r="I23243">
        <v>0</v>
      </c>
      <c r="J23243">
        <v>0</v>
      </c>
      <c r="L23243">
        <v>0</v>
      </c>
      <c r="N23243">
        <v>0</v>
      </c>
      <c r="P23243">
        <v>0</v>
      </c>
      <c r="Q23243">
        <v>0</v>
      </c>
      <c r="S23243">
        <v>0</v>
      </c>
    </row>
    <row r="23244" spans="1:19" x14ac:dyDescent="0.3">
      <c r="A23244" t="str">
        <f t="shared" si="27"/>
        <v>Medstar GeorgetownCPP-FV FFDec-24</v>
      </c>
      <c r="B23244" s="171" t="s">
        <v>46161</v>
      </c>
      <c r="C23244" s="171" t="s">
        <v>24281</v>
      </c>
      <c r="D23244" s="171" t="s">
        <v>80</v>
      </c>
      <c r="E23244" s="11">
        <v>45627</v>
      </c>
      <c r="F23244">
        <v>0</v>
      </c>
      <c r="G23244">
        <v>0</v>
      </c>
      <c r="I23244">
        <v>0</v>
      </c>
      <c r="J23244">
        <v>0</v>
      </c>
      <c r="L23244">
        <v>0</v>
      </c>
      <c r="N23244">
        <v>0</v>
      </c>
      <c r="P23244">
        <v>0</v>
      </c>
      <c r="Q23244">
        <v>0</v>
      </c>
      <c r="S23244">
        <v>0</v>
      </c>
    </row>
    <row r="23245" spans="1:19" x14ac:dyDescent="0.3">
      <c r="A23245" t="str">
        <f t="shared" si="27"/>
        <v>Better MorningsFFT FFDec-24</v>
      </c>
      <c r="B23245" s="171" t="s">
        <v>46162</v>
      </c>
      <c r="C23245" s="171" t="s">
        <v>24284</v>
      </c>
      <c r="D23245" s="171" t="s">
        <v>80</v>
      </c>
      <c r="E23245" s="11">
        <v>45627</v>
      </c>
      <c r="F23245">
        <v>3</v>
      </c>
      <c r="G23245">
        <v>3</v>
      </c>
      <c r="I23245">
        <v>6</v>
      </c>
      <c r="J23245">
        <v>17</v>
      </c>
      <c r="L23245">
        <v>17</v>
      </c>
      <c r="N23245">
        <v>5</v>
      </c>
      <c r="P23245">
        <v>3</v>
      </c>
      <c r="Q23245">
        <v>5</v>
      </c>
      <c r="S23245">
        <v>1</v>
      </c>
    </row>
    <row r="23246" spans="1:19" x14ac:dyDescent="0.3">
      <c r="A23246" t="str">
        <f t="shared" si="27"/>
        <v>CatholicFFT FFDec-24</v>
      </c>
      <c r="B23246" s="171" t="s">
        <v>46163</v>
      </c>
      <c r="C23246" s="171" t="s">
        <v>18126</v>
      </c>
      <c r="D23246" s="171" t="s">
        <v>80</v>
      </c>
      <c r="E23246" s="11">
        <v>45627</v>
      </c>
      <c r="F23246">
        <v>0</v>
      </c>
      <c r="G23246">
        <v>0</v>
      </c>
      <c r="I23246">
        <v>0</v>
      </c>
      <c r="J23246">
        <v>0</v>
      </c>
      <c r="L23246">
        <v>0</v>
      </c>
      <c r="N23246">
        <v>0</v>
      </c>
      <c r="P23246">
        <v>0</v>
      </c>
      <c r="Q23246">
        <v>0</v>
      </c>
      <c r="S23246">
        <v>0</v>
      </c>
    </row>
    <row r="23247" spans="1:19" x14ac:dyDescent="0.3">
      <c r="A23247" t="str">
        <f t="shared" si="27"/>
        <v>First Home CareFFT FFDec-24</v>
      </c>
      <c r="B23247" s="171" t="s">
        <v>46164</v>
      </c>
      <c r="C23247" s="171" t="s">
        <v>128</v>
      </c>
      <c r="D23247" s="171" t="s">
        <v>80</v>
      </c>
      <c r="E23247" s="11">
        <v>45627</v>
      </c>
      <c r="F23247">
        <v>0</v>
      </c>
      <c r="G23247">
        <v>0</v>
      </c>
      <c r="I23247">
        <v>0</v>
      </c>
      <c r="J23247">
        <v>0</v>
      </c>
      <c r="L23247">
        <v>0</v>
      </c>
      <c r="N23247">
        <v>0</v>
      </c>
      <c r="P23247">
        <v>0</v>
      </c>
      <c r="Q23247">
        <v>0</v>
      </c>
      <c r="S23247">
        <v>0</v>
      </c>
    </row>
    <row r="23248" spans="1:19" x14ac:dyDescent="0.3">
      <c r="A23248" t="str">
        <f t="shared" si="27"/>
        <v>Foundations for Home &amp; CommunityFFT FFDec-24</v>
      </c>
      <c r="B23248" s="171" t="s">
        <v>46165</v>
      </c>
      <c r="C23248" s="171" t="s">
        <v>14824</v>
      </c>
      <c r="D23248" s="171" t="s">
        <v>80</v>
      </c>
      <c r="E23248" s="11">
        <v>45627</v>
      </c>
      <c r="F23248">
        <v>0</v>
      </c>
      <c r="G23248">
        <v>0</v>
      </c>
      <c r="I23248">
        <v>0</v>
      </c>
      <c r="J23248">
        <v>0</v>
      </c>
      <c r="L23248">
        <v>0</v>
      </c>
      <c r="N23248">
        <v>0</v>
      </c>
      <c r="P23248">
        <v>0</v>
      </c>
      <c r="Q23248">
        <v>0</v>
      </c>
      <c r="S23248">
        <v>0</v>
      </c>
    </row>
    <row r="23249" spans="1:19" x14ac:dyDescent="0.3">
      <c r="A23249" t="str">
        <f t="shared" si="27"/>
        <v>HillcrestFFT FFDec-24</v>
      </c>
      <c r="B23249" s="171" t="s">
        <v>46166</v>
      </c>
      <c r="C23249" s="171" t="s">
        <v>152</v>
      </c>
      <c r="D23249" s="171" t="s">
        <v>80</v>
      </c>
      <c r="E23249" s="11">
        <v>45627</v>
      </c>
      <c r="F23249">
        <v>0</v>
      </c>
      <c r="G23249">
        <v>0</v>
      </c>
      <c r="I23249">
        <v>0</v>
      </c>
      <c r="J23249">
        <v>0</v>
      </c>
      <c r="L23249">
        <v>0</v>
      </c>
      <c r="N23249">
        <v>0</v>
      </c>
      <c r="P23249">
        <v>0</v>
      </c>
      <c r="Q23249">
        <v>0</v>
      </c>
      <c r="S23249">
        <v>0</v>
      </c>
    </row>
    <row r="23250" spans="1:19" x14ac:dyDescent="0.3">
      <c r="A23250" t="str">
        <f t="shared" si="27"/>
        <v>PASSFFT FFDec-24</v>
      </c>
      <c r="B23250" s="171" t="s">
        <v>46167</v>
      </c>
      <c r="C23250" s="171" t="s">
        <v>194</v>
      </c>
      <c r="D23250" s="171" t="s">
        <v>80</v>
      </c>
      <c r="E23250" s="11">
        <v>45627</v>
      </c>
      <c r="F23250">
        <v>2</v>
      </c>
      <c r="G23250">
        <v>5</v>
      </c>
      <c r="I23250">
        <v>12</v>
      </c>
      <c r="J23250">
        <v>12</v>
      </c>
      <c r="L23250">
        <v>27</v>
      </c>
      <c r="N23250">
        <v>11</v>
      </c>
      <c r="P23250">
        <v>0</v>
      </c>
      <c r="Q23250">
        <v>0</v>
      </c>
      <c r="S23250">
        <v>1</v>
      </c>
    </row>
    <row r="23251" spans="1:19" x14ac:dyDescent="0.3">
      <c r="A23251" t="str">
        <f t="shared" si="27"/>
        <v>Better MorningsIHCBS FFDec-24</v>
      </c>
      <c r="B23251" s="171" t="s">
        <v>46168</v>
      </c>
      <c r="C23251" s="171" t="s">
        <v>39930</v>
      </c>
      <c r="D23251" s="171" t="s">
        <v>80</v>
      </c>
      <c r="E23251" s="11">
        <v>45627</v>
      </c>
      <c r="F23251">
        <v>4</v>
      </c>
      <c r="G23251">
        <v>4</v>
      </c>
      <c r="I23251">
        <v>17</v>
      </c>
      <c r="J23251">
        <v>16</v>
      </c>
      <c r="L23251">
        <v>16</v>
      </c>
      <c r="N23251">
        <v>8</v>
      </c>
      <c r="P23251">
        <v>4</v>
      </c>
      <c r="Q23251">
        <v>5</v>
      </c>
      <c r="S23251">
        <v>9</v>
      </c>
    </row>
    <row r="23252" spans="1:19" x14ac:dyDescent="0.3">
      <c r="A23252" t="str">
        <f t="shared" si="27"/>
        <v>HillcrestIHCBS FFDec-24</v>
      </c>
      <c r="B23252" s="171" t="s">
        <v>46169</v>
      </c>
      <c r="C23252" s="171" t="s">
        <v>39933</v>
      </c>
      <c r="D23252" s="171" t="s">
        <v>80</v>
      </c>
      <c r="E23252" s="11">
        <v>45627</v>
      </c>
      <c r="F23252">
        <v>3</v>
      </c>
      <c r="G23252">
        <v>4</v>
      </c>
      <c r="I23252">
        <v>18</v>
      </c>
      <c r="J23252">
        <v>12</v>
      </c>
      <c r="L23252">
        <v>16</v>
      </c>
      <c r="N23252">
        <v>16</v>
      </c>
      <c r="P23252">
        <v>0</v>
      </c>
      <c r="Q23252">
        <v>0</v>
      </c>
      <c r="S23252">
        <v>2</v>
      </c>
    </row>
    <row r="23253" spans="1:19" x14ac:dyDescent="0.3">
      <c r="A23253" t="str">
        <f t="shared" si="27"/>
        <v>LESIHCBS FFDec-24</v>
      </c>
      <c r="B23253" s="171" t="s">
        <v>46170</v>
      </c>
      <c r="C23253" s="171" t="s">
        <v>39936</v>
      </c>
      <c r="D23253" s="171" t="s">
        <v>80</v>
      </c>
      <c r="E23253" s="11">
        <v>45627</v>
      </c>
      <c r="F23253">
        <v>0</v>
      </c>
      <c r="G23253">
        <v>0</v>
      </c>
      <c r="I23253">
        <v>0</v>
      </c>
      <c r="J23253">
        <v>0</v>
      </c>
      <c r="L23253">
        <v>0</v>
      </c>
      <c r="N23253">
        <v>0</v>
      </c>
      <c r="P23253">
        <v>0</v>
      </c>
      <c r="Q23253">
        <v>0</v>
      </c>
      <c r="S23253">
        <v>0</v>
      </c>
    </row>
    <row r="23254" spans="1:19" x14ac:dyDescent="0.3">
      <c r="A23254" t="str">
        <f t="shared" si="27"/>
        <v>MBI HSIHCBS FFDec-24</v>
      </c>
      <c r="B23254" s="171" t="s">
        <v>46171</v>
      </c>
      <c r="C23254" s="171" t="s">
        <v>39939</v>
      </c>
      <c r="D23254" s="171" t="s">
        <v>80</v>
      </c>
      <c r="E23254" s="11">
        <v>45627</v>
      </c>
      <c r="F23254">
        <v>2</v>
      </c>
      <c r="G23254">
        <v>2</v>
      </c>
      <c r="I23254">
        <v>7</v>
      </c>
      <c r="J23254">
        <v>8</v>
      </c>
      <c r="L23254">
        <v>8</v>
      </c>
      <c r="N23254">
        <v>5</v>
      </c>
      <c r="P23254">
        <v>1</v>
      </c>
      <c r="Q23254">
        <v>1</v>
      </c>
      <c r="S23254">
        <v>2</v>
      </c>
    </row>
    <row r="23255" spans="1:19" x14ac:dyDescent="0.3">
      <c r="A23255" t="str">
        <f t="shared" si="27"/>
        <v>MD Family ResourcesIHCBS FFDec-24</v>
      </c>
      <c r="B23255" s="171" t="s">
        <v>46172</v>
      </c>
      <c r="C23255" s="171" t="s">
        <v>39942</v>
      </c>
      <c r="D23255" s="171" t="s">
        <v>80</v>
      </c>
      <c r="E23255" s="11">
        <v>45627</v>
      </c>
      <c r="F23255">
        <v>0</v>
      </c>
      <c r="G23255">
        <v>4</v>
      </c>
      <c r="I23255">
        <v>0</v>
      </c>
      <c r="J23255">
        <v>0</v>
      </c>
      <c r="L23255">
        <v>16</v>
      </c>
      <c r="N23255">
        <v>0</v>
      </c>
      <c r="P23255">
        <v>0</v>
      </c>
      <c r="Q23255">
        <v>0</v>
      </c>
      <c r="S23255">
        <v>0</v>
      </c>
    </row>
    <row r="23256" spans="1:19" x14ac:dyDescent="0.3">
      <c r="A23256" t="str">
        <f t="shared" si="27"/>
        <v>UmbrellaIHCBS FFDec-24</v>
      </c>
      <c r="B23256" s="171" t="s">
        <v>46173</v>
      </c>
      <c r="C23256" s="171" t="s">
        <v>45944</v>
      </c>
      <c r="D23256" s="171" t="s">
        <v>80</v>
      </c>
      <c r="E23256" s="11">
        <v>45627</v>
      </c>
      <c r="F23256">
        <v>2</v>
      </c>
      <c r="G23256">
        <v>2</v>
      </c>
      <c r="I23256">
        <v>1</v>
      </c>
      <c r="J23256">
        <v>8</v>
      </c>
      <c r="L23256">
        <v>8</v>
      </c>
      <c r="N23256">
        <v>1</v>
      </c>
      <c r="P23256">
        <v>0</v>
      </c>
      <c r="Q23256">
        <v>0</v>
      </c>
      <c r="S23256">
        <v>0</v>
      </c>
    </row>
    <row r="23257" spans="1:19" x14ac:dyDescent="0.3">
      <c r="A23257" t="str">
        <f t="shared" si="27"/>
        <v>LCSMST FFDec-24</v>
      </c>
      <c r="B23257" s="171" t="s">
        <v>46174</v>
      </c>
      <c r="C23257" s="171" t="s">
        <v>18137</v>
      </c>
      <c r="D23257" s="171" t="s">
        <v>80</v>
      </c>
      <c r="E23257" s="11">
        <v>45627</v>
      </c>
      <c r="F23257">
        <v>0</v>
      </c>
      <c r="G23257">
        <v>0</v>
      </c>
      <c r="I23257">
        <v>0</v>
      </c>
      <c r="J23257">
        <v>0</v>
      </c>
      <c r="L23257">
        <v>0</v>
      </c>
      <c r="N23257">
        <v>0</v>
      </c>
      <c r="P23257">
        <v>0</v>
      </c>
      <c r="Q23257">
        <v>0</v>
      </c>
      <c r="S23257">
        <v>0</v>
      </c>
    </row>
    <row r="23258" spans="1:19" x14ac:dyDescent="0.3">
      <c r="A23258" t="str">
        <f t="shared" si="27"/>
        <v>MBI HSMST FFDec-24</v>
      </c>
      <c r="B23258" s="171" t="s">
        <v>46175</v>
      </c>
      <c r="C23258" s="171" t="s">
        <v>18140</v>
      </c>
      <c r="D23258" s="171" t="s">
        <v>80</v>
      </c>
      <c r="E23258" s="11">
        <v>45627</v>
      </c>
      <c r="F23258">
        <v>1</v>
      </c>
      <c r="G23258">
        <v>4</v>
      </c>
      <c r="I23258">
        <v>4</v>
      </c>
      <c r="J23258">
        <v>5</v>
      </c>
      <c r="L23258">
        <v>20</v>
      </c>
      <c r="N23258">
        <v>4</v>
      </c>
      <c r="P23258">
        <v>3</v>
      </c>
      <c r="Q23258">
        <v>3</v>
      </c>
      <c r="S23258">
        <v>0</v>
      </c>
    </row>
    <row r="23259" spans="1:19" x14ac:dyDescent="0.3">
      <c r="A23259" t="str">
        <f t="shared" si="27"/>
        <v>Youth VillagesMST FFDec-24</v>
      </c>
      <c r="B23259" s="171" t="s">
        <v>46176</v>
      </c>
      <c r="C23259" s="171" t="s">
        <v>236</v>
      </c>
      <c r="D23259" s="171" t="s">
        <v>80</v>
      </c>
      <c r="E23259" s="11">
        <v>45627</v>
      </c>
      <c r="F23259">
        <v>0</v>
      </c>
      <c r="G23259">
        <v>0</v>
      </c>
      <c r="I23259">
        <v>0</v>
      </c>
      <c r="J23259">
        <v>0</v>
      </c>
      <c r="L23259">
        <v>0</v>
      </c>
      <c r="N23259">
        <v>0</v>
      </c>
      <c r="P23259">
        <v>0</v>
      </c>
      <c r="Q23259">
        <v>0</v>
      </c>
      <c r="S23259">
        <v>0</v>
      </c>
    </row>
    <row r="23260" spans="1:19" x14ac:dyDescent="0.3">
      <c r="A23260" t="str">
        <f t="shared" si="27"/>
        <v>Youth VillagesMST-PSB FFDec-24</v>
      </c>
      <c r="B23260" s="171" t="s">
        <v>46177</v>
      </c>
      <c r="C23260" s="171" t="s">
        <v>239</v>
      </c>
      <c r="D23260" s="171" t="s">
        <v>80</v>
      </c>
      <c r="E23260" s="11">
        <v>45627</v>
      </c>
      <c r="F23260">
        <v>0</v>
      </c>
      <c r="G23260">
        <v>0</v>
      </c>
      <c r="I23260">
        <v>0</v>
      </c>
      <c r="J23260">
        <v>0</v>
      </c>
      <c r="L23260">
        <v>0</v>
      </c>
      <c r="N23260">
        <v>0</v>
      </c>
      <c r="P23260">
        <v>0</v>
      </c>
      <c r="Q23260">
        <v>0</v>
      </c>
      <c r="S23260">
        <v>0</v>
      </c>
    </row>
    <row r="23261" spans="1:19" x14ac:dyDescent="0.3">
      <c r="A23261" t="str">
        <f t="shared" si="27"/>
        <v>Marys CenterPCIT FFDec-24</v>
      </c>
      <c r="B23261" s="171" t="s">
        <v>46178</v>
      </c>
      <c r="C23261" s="171" t="s">
        <v>176</v>
      </c>
      <c r="D23261" s="171" t="s">
        <v>80</v>
      </c>
      <c r="E23261" s="11">
        <v>45627</v>
      </c>
      <c r="F23261">
        <v>2</v>
      </c>
      <c r="G23261">
        <v>2</v>
      </c>
      <c r="I23261">
        <v>1</v>
      </c>
      <c r="J23261">
        <v>11</v>
      </c>
      <c r="L23261">
        <v>11</v>
      </c>
      <c r="N23261">
        <v>1</v>
      </c>
      <c r="P23261">
        <v>0</v>
      </c>
      <c r="Q23261">
        <v>0</v>
      </c>
      <c r="S23261">
        <v>0</v>
      </c>
    </row>
    <row r="23262" spans="1:19" x14ac:dyDescent="0.3">
      <c r="A23262" t="str">
        <f t="shared" si="27"/>
        <v>PIECEPCIT FFDec-24</v>
      </c>
      <c r="B23262" s="171" t="s">
        <v>46179</v>
      </c>
      <c r="C23262" s="171" t="s">
        <v>206</v>
      </c>
      <c r="D23262" s="171" t="s">
        <v>80</v>
      </c>
      <c r="E23262" s="11">
        <v>45627</v>
      </c>
      <c r="F23262">
        <v>1.5</v>
      </c>
      <c r="G23262">
        <v>1.5</v>
      </c>
      <c r="I23262">
        <v>1</v>
      </c>
      <c r="J23262">
        <v>7</v>
      </c>
      <c r="L23262">
        <v>7</v>
      </c>
      <c r="N23262">
        <v>1</v>
      </c>
      <c r="P23262">
        <v>1</v>
      </c>
      <c r="Q23262">
        <v>1</v>
      </c>
      <c r="S23262">
        <v>0</v>
      </c>
    </row>
    <row r="23263" spans="1:19" x14ac:dyDescent="0.3">
      <c r="A23263" t="str">
        <f t="shared" si="27"/>
        <v>Marys CenterPCIT DCSDec-24</v>
      </c>
      <c r="B23263" s="171" t="s">
        <v>46180</v>
      </c>
      <c r="C23263" s="171" t="s">
        <v>176</v>
      </c>
      <c r="D23263" s="171" t="s">
        <v>15341</v>
      </c>
      <c r="E23263" s="11">
        <v>45627</v>
      </c>
      <c r="F23263">
        <v>0</v>
      </c>
      <c r="G23263">
        <v>0</v>
      </c>
      <c r="I23263">
        <v>0</v>
      </c>
      <c r="J23263">
        <v>0</v>
      </c>
      <c r="L23263">
        <v>0</v>
      </c>
      <c r="N23263">
        <v>0</v>
      </c>
      <c r="P23263">
        <v>0</v>
      </c>
      <c r="Q23263">
        <v>0</v>
      </c>
      <c r="S23263">
        <v>0</v>
      </c>
    </row>
    <row r="23264" spans="1:19" x14ac:dyDescent="0.3">
      <c r="A23264" t="str">
        <f t="shared" si="27"/>
        <v>PIECEPCIT DCSDec-24</v>
      </c>
      <c r="B23264" s="171" t="s">
        <v>46181</v>
      </c>
      <c r="C23264" s="171" t="s">
        <v>206</v>
      </c>
      <c r="D23264" s="171" t="s">
        <v>15341</v>
      </c>
      <c r="E23264" s="11">
        <v>45627</v>
      </c>
      <c r="F23264">
        <v>0</v>
      </c>
      <c r="G23264">
        <v>0</v>
      </c>
      <c r="I23264">
        <v>0</v>
      </c>
      <c r="J23264">
        <v>0</v>
      </c>
      <c r="L23264">
        <v>0</v>
      </c>
      <c r="N23264">
        <v>0</v>
      </c>
      <c r="P23264">
        <v>0</v>
      </c>
      <c r="Q23264">
        <v>0</v>
      </c>
      <c r="S23264">
        <v>0</v>
      </c>
    </row>
    <row r="23265" spans="1:19" x14ac:dyDescent="0.3">
      <c r="A23265" t="str">
        <f t="shared" si="27"/>
        <v>Community ConnectionsPCIT DCSDec-24</v>
      </c>
      <c r="B23265" s="171" t="s">
        <v>46182</v>
      </c>
      <c r="C23265" s="171" t="s">
        <v>16544</v>
      </c>
      <c r="D23265" s="171" t="s">
        <v>15341</v>
      </c>
      <c r="E23265" s="11">
        <v>45627</v>
      </c>
      <c r="F23265">
        <v>0</v>
      </c>
      <c r="G23265">
        <v>0</v>
      </c>
      <c r="I23265">
        <v>0</v>
      </c>
      <c r="J23265">
        <v>0</v>
      </c>
      <c r="L23265">
        <v>0</v>
      </c>
      <c r="N23265">
        <v>0</v>
      </c>
      <c r="P23265">
        <v>0</v>
      </c>
      <c r="Q23265">
        <v>0</v>
      </c>
      <c r="S23265">
        <v>0</v>
      </c>
    </row>
    <row r="23266" spans="1:19" x14ac:dyDescent="0.3">
      <c r="A23266" t="str">
        <f t="shared" si="27"/>
        <v>Community ConnectionsPCIT FFDec-24</v>
      </c>
      <c r="B23266" s="171" t="s">
        <v>46183</v>
      </c>
      <c r="C23266" s="171" t="s">
        <v>16544</v>
      </c>
      <c r="D23266" s="171" t="s">
        <v>80</v>
      </c>
      <c r="E23266" s="11">
        <v>45627</v>
      </c>
      <c r="F23266">
        <v>0</v>
      </c>
      <c r="G23266">
        <v>0</v>
      </c>
      <c r="I23266">
        <v>0</v>
      </c>
      <c r="J23266">
        <v>0</v>
      </c>
      <c r="L23266">
        <v>0</v>
      </c>
      <c r="N23266">
        <v>0</v>
      </c>
      <c r="P23266">
        <v>0</v>
      </c>
      <c r="Q23266">
        <v>0</v>
      </c>
      <c r="S23266">
        <v>0</v>
      </c>
    </row>
    <row r="23267" spans="1:19" x14ac:dyDescent="0.3">
      <c r="A23267" t="str">
        <f t="shared" si="27"/>
        <v>Medstar GeorgetownPCIT DCSDec-24</v>
      </c>
      <c r="B23267" s="171" t="s">
        <v>46184</v>
      </c>
      <c r="C23267" s="171" t="s">
        <v>24315</v>
      </c>
      <c r="D23267" s="171" t="s">
        <v>15341</v>
      </c>
      <c r="E23267" s="11">
        <v>45627</v>
      </c>
      <c r="F23267">
        <v>0</v>
      </c>
      <c r="G23267">
        <v>0</v>
      </c>
      <c r="I23267">
        <v>0</v>
      </c>
      <c r="J23267">
        <v>0</v>
      </c>
      <c r="L23267">
        <v>0</v>
      </c>
      <c r="N23267">
        <v>0</v>
      </c>
      <c r="P23267">
        <v>0</v>
      </c>
      <c r="Q23267">
        <v>0</v>
      </c>
      <c r="S23267">
        <v>0</v>
      </c>
    </row>
    <row r="23268" spans="1:19" x14ac:dyDescent="0.3">
      <c r="A23268" t="str">
        <f t="shared" si="27"/>
        <v>Medstar GeorgetownPCIT FFDec-24</v>
      </c>
      <c r="B23268" s="171" t="s">
        <v>46185</v>
      </c>
      <c r="C23268" s="171" t="s">
        <v>24315</v>
      </c>
      <c r="D23268" s="171" t="s">
        <v>80</v>
      </c>
      <c r="E23268" s="11">
        <v>45627</v>
      </c>
      <c r="F23268">
        <v>0</v>
      </c>
      <c r="G23268">
        <v>0</v>
      </c>
      <c r="I23268">
        <v>0</v>
      </c>
      <c r="J23268">
        <v>0</v>
      </c>
      <c r="L23268">
        <v>0</v>
      </c>
      <c r="N23268">
        <v>0</v>
      </c>
      <c r="P23268">
        <v>0</v>
      </c>
      <c r="Q23268">
        <v>0</v>
      </c>
      <c r="S23268">
        <v>0</v>
      </c>
    </row>
    <row r="23269" spans="1:19" x14ac:dyDescent="0.3">
      <c r="A23269" t="str">
        <f t="shared" si="27"/>
        <v>Marys CenterPCIT-T FFDec-24</v>
      </c>
      <c r="B23269" s="171" t="s">
        <v>46186</v>
      </c>
      <c r="C23269" s="171" t="s">
        <v>34833</v>
      </c>
      <c r="D23269" s="171" t="s">
        <v>80</v>
      </c>
      <c r="E23269" s="11">
        <v>45627</v>
      </c>
      <c r="F23269">
        <v>1.5</v>
      </c>
      <c r="G23269">
        <v>2</v>
      </c>
      <c r="I23269">
        <v>0</v>
      </c>
      <c r="J23269">
        <v>9</v>
      </c>
      <c r="L23269">
        <v>11</v>
      </c>
      <c r="N23269">
        <v>0</v>
      </c>
      <c r="P23269">
        <v>0</v>
      </c>
      <c r="Q23269">
        <v>0</v>
      </c>
      <c r="S23269">
        <v>0</v>
      </c>
    </row>
    <row r="23270" spans="1:19" x14ac:dyDescent="0.3">
      <c r="A23270" t="str">
        <f t="shared" si="27"/>
        <v>PIECEPCIT-T FFDec-24</v>
      </c>
      <c r="B23270" s="171" t="s">
        <v>46187</v>
      </c>
      <c r="C23270" s="171" t="s">
        <v>34836</v>
      </c>
      <c r="D23270" s="171" t="s">
        <v>80</v>
      </c>
      <c r="E23270" s="11">
        <v>45627</v>
      </c>
      <c r="F23270">
        <v>1.5</v>
      </c>
      <c r="G23270">
        <v>1.5</v>
      </c>
      <c r="I23270">
        <v>2</v>
      </c>
      <c r="J23270">
        <v>7</v>
      </c>
      <c r="L23270">
        <v>7</v>
      </c>
      <c r="N23270">
        <v>2</v>
      </c>
      <c r="P23270">
        <v>0</v>
      </c>
      <c r="Q23270">
        <v>0</v>
      </c>
      <c r="S23270">
        <v>0</v>
      </c>
    </row>
    <row r="23271" spans="1:19" x14ac:dyDescent="0.3">
      <c r="A23271" t="str">
        <f t="shared" si="27"/>
        <v>Community ConnectionsTF-CBT FFDec-24</v>
      </c>
      <c r="B23271" s="171" t="s">
        <v>46188</v>
      </c>
      <c r="C23271" s="171" t="s">
        <v>113</v>
      </c>
      <c r="D23271" s="171" t="s">
        <v>80</v>
      </c>
      <c r="E23271" s="11">
        <v>45627</v>
      </c>
      <c r="F23271">
        <v>0</v>
      </c>
      <c r="G23271">
        <v>0</v>
      </c>
      <c r="I23271">
        <v>0</v>
      </c>
      <c r="J23271">
        <v>0</v>
      </c>
      <c r="L23271">
        <v>0</v>
      </c>
      <c r="N23271">
        <v>0</v>
      </c>
      <c r="P23271">
        <v>0</v>
      </c>
      <c r="Q23271">
        <v>0</v>
      </c>
      <c r="S23271">
        <v>0</v>
      </c>
    </row>
    <row r="23272" spans="1:19" x14ac:dyDescent="0.3">
      <c r="A23272" t="str">
        <f t="shared" si="27"/>
        <v>First Home CareTF-CBT FFDec-24</v>
      </c>
      <c r="B23272" s="171" t="s">
        <v>46189</v>
      </c>
      <c r="C23272" s="171" t="s">
        <v>131</v>
      </c>
      <c r="D23272" s="171" t="s">
        <v>80</v>
      </c>
      <c r="E23272" s="11">
        <v>45627</v>
      </c>
      <c r="F23272">
        <v>0</v>
      </c>
      <c r="G23272">
        <v>0</v>
      </c>
      <c r="I23272">
        <v>0</v>
      </c>
      <c r="J23272">
        <v>0</v>
      </c>
      <c r="L23272">
        <v>0</v>
      </c>
      <c r="N23272">
        <v>0</v>
      </c>
      <c r="P23272">
        <v>0</v>
      </c>
      <c r="Q23272">
        <v>0</v>
      </c>
      <c r="S23272">
        <v>0</v>
      </c>
    </row>
    <row r="23273" spans="1:19" x14ac:dyDescent="0.3">
      <c r="A23273" t="str">
        <f t="shared" si="27"/>
        <v>Foundations for Home &amp; CommunityTF-CBT FFDec-24</v>
      </c>
      <c r="B23273" s="171" t="s">
        <v>46190</v>
      </c>
      <c r="C23273" s="171" t="s">
        <v>14843</v>
      </c>
      <c r="D23273" s="171" t="s">
        <v>80</v>
      </c>
      <c r="E23273" s="11">
        <v>45627</v>
      </c>
      <c r="F23273">
        <v>0</v>
      </c>
      <c r="G23273">
        <v>0</v>
      </c>
      <c r="I23273">
        <v>0</v>
      </c>
      <c r="J23273">
        <v>0</v>
      </c>
      <c r="L23273">
        <v>0</v>
      </c>
      <c r="N23273">
        <v>0</v>
      </c>
      <c r="P23273">
        <v>0</v>
      </c>
      <c r="Q23273">
        <v>0</v>
      </c>
      <c r="S23273">
        <v>0</v>
      </c>
    </row>
    <row r="23274" spans="1:19" x14ac:dyDescent="0.3">
      <c r="A23274" t="str">
        <f t="shared" si="27"/>
        <v>HillcrestTF-CBT FFDec-24</v>
      </c>
      <c r="B23274" s="171" t="s">
        <v>46191</v>
      </c>
      <c r="C23274" s="171" t="s">
        <v>155</v>
      </c>
      <c r="D23274" s="171" t="s">
        <v>80</v>
      </c>
      <c r="E23274" s="11">
        <v>45627</v>
      </c>
      <c r="F23274">
        <v>4</v>
      </c>
      <c r="G23274">
        <v>6</v>
      </c>
      <c r="I23274">
        <v>13</v>
      </c>
      <c r="J23274">
        <v>23</v>
      </c>
      <c r="L23274">
        <v>31</v>
      </c>
      <c r="N23274">
        <v>13</v>
      </c>
      <c r="P23274">
        <v>0</v>
      </c>
      <c r="Q23274">
        <v>0</v>
      </c>
      <c r="S23274">
        <v>0</v>
      </c>
    </row>
    <row r="23275" spans="1:19" x14ac:dyDescent="0.3">
      <c r="A23275" t="str">
        <f t="shared" si="27"/>
        <v>LAYCTF-CBT FFDec-24</v>
      </c>
      <c r="B23275" s="171" t="s">
        <v>46192</v>
      </c>
      <c r="C23275" s="171" t="s">
        <v>16232</v>
      </c>
      <c r="D23275" s="171" t="s">
        <v>80</v>
      </c>
      <c r="E23275" s="11">
        <v>45627</v>
      </c>
      <c r="F23275">
        <v>2.5</v>
      </c>
      <c r="G23275">
        <v>3.5</v>
      </c>
      <c r="I23275">
        <v>9</v>
      </c>
      <c r="J23275">
        <v>15</v>
      </c>
      <c r="L23275">
        <v>21</v>
      </c>
      <c r="N23275">
        <v>8</v>
      </c>
      <c r="P23275">
        <v>0</v>
      </c>
      <c r="Q23275">
        <v>0</v>
      </c>
      <c r="S23275">
        <v>1</v>
      </c>
    </row>
    <row r="23276" spans="1:19" x14ac:dyDescent="0.3">
      <c r="A23276" t="str">
        <f t="shared" si="27"/>
        <v>LESTF-CBT FFDec-24</v>
      </c>
      <c r="B23276" s="171" t="s">
        <v>46193</v>
      </c>
      <c r="C23276" s="171" t="s">
        <v>16557</v>
      </c>
      <c r="D23276" s="171" t="s">
        <v>80</v>
      </c>
      <c r="E23276" s="11">
        <v>45627</v>
      </c>
      <c r="F23276">
        <v>0</v>
      </c>
      <c r="G23276">
        <v>0</v>
      </c>
      <c r="I23276">
        <v>0</v>
      </c>
      <c r="J23276">
        <v>0</v>
      </c>
      <c r="L23276">
        <v>0</v>
      </c>
      <c r="N23276">
        <v>0</v>
      </c>
      <c r="P23276">
        <v>0</v>
      </c>
      <c r="Q23276">
        <v>0</v>
      </c>
      <c r="S23276">
        <v>0</v>
      </c>
    </row>
    <row r="23277" spans="1:19" x14ac:dyDescent="0.3">
      <c r="A23277" t="str">
        <f t="shared" si="27"/>
        <v>MD Family ResourcesTF-CBT FFDec-24</v>
      </c>
      <c r="B23277" s="171" t="s">
        <v>46194</v>
      </c>
      <c r="C23277" s="171" t="s">
        <v>188</v>
      </c>
      <c r="D23277" s="171" t="s">
        <v>80</v>
      </c>
      <c r="E23277" s="11">
        <v>45627</v>
      </c>
      <c r="F23277">
        <v>1.5</v>
      </c>
      <c r="G23277">
        <v>3.5</v>
      </c>
      <c r="I23277">
        <v>4</v>
      </c>
      <c r="J23277">
        <v>8</v>
      </c>
      <c r="L23277">
        <v>20</v>
      </c>
      <c r="N23277">
        <v>4</v>
      </c>
      <c r="P23277">
        <v>0</v>
      </c>
      <c r="Q23277">
        <v>0</v>
      </c>
      <c r="S23277">
        <v>0</v>
      </c>
    </row>
    <row r="23278" spans="1:19" x14ac:dyDescent="0.3">
      <c r="A23278" t="str">
        <f t="shared" si="27"/>
        <v>UniversalTF-CBT FFDec-24</v>
      </c>
      <c r="B23278" s="171" t="s">
        <v>46195</v>
      </c>
      <c r="C23278" s="171" t="s">
        <v>227</v>
      </c>
      <c r="D23278" s="171" t="s">
        <v>80</v>
      </c>
      <c r="E23278" s="11">
        <v>45627</v>
      </c>
      <c r="F23278">
        <v>0</v>
      </c>
      <c r="G23278">
        <v>0</v>
      </c>
      <c r="I23278">
        <v>0</v>
      </c>
      <c r="J23278">
        <v>0</v>
      </c>
      <c r="L23278">
        <v>0</v>
      </c>
      <c r="N23278">
        <v>0</v>
      </c>
      <c r="P23278">
        <v>0</v>
      </c>
      <c r="Q23278">
        <v>0</v>
      </c>
      <c r="S23278">
        <v>0</v>
      </c>
    </row>
    <row r="23279" spans="1:19" x14ac:dyDescent="0.3">
      <c r="A23279" t="str">
        <f t="shared" si="27"/>
        <v>Community ConnectionsTIP FFDec-24</v>
      </c>
      <c r="B23279" s="171" t="s">
        <v>46196</v>
      </c>
      <c r="C23279" s="171" t="s">
        <v>116</v>
      </c>
      <c r="D23279" s="171" t="s">
        <v>80</v>
      </c>
      <c r="E23279" s="11">
        <v>45627</v>
      </c>
      <c r="F23279">
        <v>0</v>
      </c>
      <c r="G23279">
        <v>0</v>
      </c>
      <c r="I23279">
        <v>0</v>
      </c>
      <c r="J23279">
        <v>0</v>
      </c>
      <c r="L23279">
        <v>0</v>
      </c>
      <c r="N23279">
        <v>0</v>
      </c>
      <c r="P23279">
        <v>0</v>
      </c>
      <c r="Q23279">
        <v>0</v>
      </c>
      <c r="S23279">
        <v>0</v>
      </c>
    </row>
    <row r="23280" spans="1:19" x14ac:dyDescent="0.3">
      <c r="A23280" t="str">
        <f t="shared" si="27"/>
        <v>ContemporaryTIP FFDec-24</v>
      </c>
      <c r="B23280" s="171" t="s">
        <v>46197</v>
      </c>
      <c r="C23280" s="171" t="s">
        <v>9862</v>
      </c>
      <c r="D23280" s="171" t="s">
        <v>80</v>
      </c>
      <c r="E23280" s="11">
        <v>45627</v>
      </c>
      <c r="F23280">
        <v>0</v>
      </c>
      <c r="G23280">
        <v>0</v>
      </c>
      <c r="I23280">
        <v>0</v>
      </c>
      <c r="J23280">
        <v>0</v>
      </c>
      <c r="L23280">
        <v>0</v>
      </c>
      <c r="N23280">
        <v>0</v>
      </c>
      <c r="P23280">
        <v>0</v>
      </c>
      <c r="Q23280">
        <v>0</v>
      </c>
      <c r="S23280">
        <v>0</v>
      </c>
    </row>
    <row r="23281" spans="1:19" x14ac:dyDescent="0.3">
      <c r="A23281" t="str">
        <f t="shared" si="27"/>
        <v>FPSTIP FFDec-24</v>
      </c>
      <c r="B23281" s="171" t="s">
        <v>46198</v>
      </c>
      <c r="C23281" s="171" t="s">
        <v>140</v>
      </c>
      <c r="D23281" s="171" t="s">
        <v>80</v>
      </c>
      <c r="E23281" s="11">
        <v>45627</v>
      </c>
      <c r="F23281">
        <v>0</v>
      </c>
      <c r="G23281">
        <v>0</v>
      </c>
      <c r="I23281">
        <v>0</v>
      </c>
      <c r="J23281">
        <v>0</v>
      </c>
      <c r="L23281">
        <v>0</v>
      </c>
      <c r="N23281">
        <v>0</v>
      </c>
      <c r="P23281">
        <v>0</v>
      </c>
      <c r="Q23281">
        <v>0</v>
      </c>
      <c r="S23281">
        <v>0</v>
      </c>
    </row>
    <row r="23282" spans="1:19" x14ac:dyDescent="0.3">
      <c r="A23282" t="str">
        <f t="shared" si="27"/>
        <v>Green DoorTIP FFDec-24</v>
      </c>
      <c r="B23282" s="171" t="s">
        <v>46199</v>
      </c>
      <c r="C23282" s="171" t="s">
        <v>8590</v>
      </c>
      <c r="D23282" s="171" t="s">
        <v>80</v>
      </c>
      <c r="E23282" s="11">
        <v>45627</v>
      </c>
      <c r="F23282">
        <v>0</v>
      </c>
      <c r="G23282">
        <v>0</v>
      </c>
      <c r="I23282">
        <v>0</v>
      </c>
      <c r="J23282">
        <v>0</v>
      </c>
      <c r="L23282">
        <v>0</v>
      </c>
      <c r="N23282">
        <v>0</v>
      </c>
      <c r="P23282">
        <v>0</v>
      </c>
      <c r="Q23282">
        <v>0</v>
      </c>
      <c r="S23282">
        <v>0</v>
      </c>
    </row>
    <row r="23283" spans="1:19" x14ac:dyDescent="0.3">
      <c r="A23283" t="str">
        <f t="shared" si="27"/>
        <v>LESTIP FFDec-24</v>
      </c>
      <c r="B23283" s="171" t="s">
        <v>46200</v>
      </c>
      <c r="C23283" s="171" t="s">
        <v>170</v>
      </c>
      <c r="D23283" s="171" t="s">
        <v>80</v>
      </c>
      <c r="E23283" s="11">
        <v>45627</v>
      </c>
      <c r="F23283">
        <v>2.5</v>
      </c>
      <c r="G23283">
        <v>2.5</v>
      </c>
      <c r="I23283">
        <v>11</v>
      </c>
      <c r="J23283">
        <v>35</v>
      </c>
      <c r="L23283">
        <v>35</v>
      </c>
      <c r="N23283">
        <v>11</v>
      </c>
      <c r="P23283">
        <v>0</v>
      </c>
      <c r="Q23283">
        <v>0</v>
      </c>
      <c r="S23283">
        <v>0</v>
      </c>
    </row>
    <row r="23284" spans="1:19" x14ac:dyDescent="0.3">
      <c r="A23284" t="str">
        <f t="shared" si="27"/>
        <v>MBI HSTIP FFDec-24</v>
      </c>
      <c r="B23284" s="171" t="s">
        <v>46201</v>
      </c>
      <c r="C23284" s="171" t="s">
        <v>182</v>
      </c>
      <c r="D23284" s="171" t="s">
        <v>80</v>
      </c>
      <c r="E23284" s="11">
        <v>45627</v>
      </c>
      <c r="F23284">
        <v>7</v>
      </c>
      <c r="G23284">
        <v>9</v>
      </c>
      <c r="I23284">
        <v>40</v>
      </c>
      <c r="J23284">
        <v>80</v>
      </c>
      <c r="L23284">
        <v>102</v>
      </c>
      <c r="N23284">
        <v>40</v>
      </c>
      <c r="P23284">
        <v>2</v>
      </c>
      <c r="Q23284">
        <v>2</v>
      </c>
      <c r="S23284">
        <v>0</v>
      </c>
    </row>
    <row r="23285" spans="1:19" x14ac:dyDescent="0.3">
      <c r="A23285" t="str">
        <f t="shared" si="27"/>
        <v>PASSTIP FFDec-24</v>
      </c>
      <c r="B23285" s="171" t="s">
        <v>46202</v>
      </c>
      <c r="C23285" s="171" t="s">
        <v>197</v>
      </c>
      <c r="D23285" s="171" t="s">
        <v>80</v>
      </c>
      <c r="E23285" s="11">
        <v>45627</v>
      </c>
      <c r="F23285">
        <v>7.5</v>
      </c>
      <c r="G23285">
        <v>8</v>
      </c>
      <c r="I23285">
        <v>77</v>
      </c>
      <c r="J23285">
        <v>75</v>
      </c>
      <c r="L23285">
        <v>80</v>
      </c>
      <c r="N23285">
        <v>46</v>
      </c>
      <c r="P23285">
        <v>9</v>
      </c>
      <c r="Q23285">
        <v>11</v>
      </c>
      <c r="S23285">
        <v>31</v>
      </c>
    </row>
    <row r="23286" spans="1:19" x14ac:dyDescent="0.3">
      <c r="A23286" t="str">
        <f t="shared" si="27"/>
        <v>TFCCTIP FFDec-24</v>
      </c>
      <c r="B23286" s="171" t="s">
        <v>46203</v>
      </c>
      <c r="C23286" s="171" t="s">
        <v>218</v>
      </c>
      <c r="D23286" s="171" t="s">
        <v>80</v>
      </c>
      <c r="E23286" s="11">
        <v>45627</v>
      </c>
      <c r="F23286">
        <v>0</v>
      </c>
      <c r="G23286">
        <v>0</v>
      </c>
      <c r="I23286">
        <v>0</v>
      </c>
      <c r="J23286">
        <v>0</v>
      </c>
      <c r="L23286">
        <v>0</v>
      </c>
      <c r="N23286">
        <v>0</v>
      </c>
      <c r="P23286">
        <v>0</v>
      </c>
      <c r="Q23286">
        <v>0</v>
      </c>
      <c r="S23286">
        <v>0</v>
      </c>
    </row>
    <row r="23287" spans="1:19" x14ac:dyDescent="0.3">
      <c r="A23287" t="str">
        <f t="shared" si="27"/>
        <v>UmbrellaTIP FFDec-24</v>
      </c>
      <c r="B23287" s="171" t="s">
        <v>46204</v>
      </c>
      <c r="C23287" s="171" t="s">
        <v>34871</v>
      </c>
      <c r="D23287" s="171" t="s">
        <v>80</v>
      </c>
      <c r="E23287" s="11">
        <v>45627</v>
      </c>
      <c r="F23287">
        <v>6</v>
      </c>
      <c r="G23287">
        <v>6</v>
      </c>
      <c r="I23287">
        <v>33</v>
      </c>
      <c r="J23287">
        <v>66</v>
      </c>
      <c r="L23287">
        <v>66</v>
      </c>
      <c r="N23287">
        <v>33</v>
      </c>
      <c r="P23287">
        <v>0</v>
      </c>
      <c r="Q23287">
        <v>0</v>
      </c>
      <c r="S23287">
        <v>0</v>
      </c>
    </row>
    <row r="23288" spans="1:19" x14ac:dyDescent="0.3">
      <c r="A23288" t="str">
        <f t="shared" si="27"/>
        <v>UniversalTIP FFDec-24</v>
      </c>
      <c r="B23288" s="171" t="s">
        <v>46205</v>
      </c>
      <c r="C23288" s="171" t="s">
        <v>230</v>
      </c>
      <c r="D23288" s="171" t="s">
        <v>80</v>
      </c>
      <c r="E23288" s="11">
        <v>45627</v>
      </c>
      <c r="F23288">
        <v>0</v>
      </c>
      <c r="G23288">
        <v>0</v>
      </c>
      <c r="I23288">
        <v>0</v>
      </c>
      <c r="J23288">
        <v>0</v>
      </c>
      <c r="L23288">
        <v>0</v>
      </c>
      <c r="N23288">
        <v>0</v>
      </c>
      <c r="P23288">
        <v>0</v>
      </c>
      <c r="Q23288">
        <v>0</v>
      </c>
      <c r="S23288">
        <v>0</v>
      </c>
    </row>
    <row r="23289" spans="1:19" x14ac:dyDescent="0.3">
      <c r="A23289" t="str">
        <f t="shared" si="27"/>
        <v>Wayne PlaceTIP FFDec-24</v>
      </c>
      <c r="B23289" s="171" t="s">
        <v>46206</v>
      </c>
      <c r="C23289" s="171" t="s">
        <v>8193</v>
      </c>
      <c r="D23289" s="171" t="s">
        <v>80</v>
      </c>
      <c r="E23289" s="11">
        <v>45627</v>
      </c>
      <c r="F23289">
        <v>2</v>
      </c>
      <c r="G23289">
        <v>3</v>
      </c>
      <c r="I23289">
        <v>7</v>
      </c>
      <c r="J23289">
        <v>22</v>
      </c>
      <c r="L23289">
        <v>33</v>
      </c>
      <c r="N23289">
        <v>7</v>
      </c>
      <c r="P23289">
        <v>0</v>
      </c>
      <c r="Q23289">
        <v>1</v>
      </c>
      <c r="S23289">
        <v>0</v>
      </c>
    </row>
    <row r="23290" spans="1:19" x14ac:dyDescent="0.3">
      <c r="A23290" t="str">
        <f t="shared" si="27"/>
        <v>Adoptions TogetherTST FFDec-24</v>
      </c>
      <c r="B23290" s="171" t="s">
        <v>46207</v>
      </c>
      <c r="C23290" s="171" t="s">
        <v>10522</v>
      </c>
      <c r="D23290" s="171" t="s">
        <v>80</v>
      </c>
      <c r="E23290" s="11">
        <v>45627</v>
      </c>
      <c r="F23290">
        <v>0</v>
      </c>
      <c r="G23290">
        <v>0</v>
      </c>
      <c r="I23290">
        <v>0</v>
      </c>
      <c r="J23290">
        <v>0</v>
      </c>
      <c r="L23290">
        <v>0</v>
      </c>
      <c r="N23290">
        <v>0</v>
      </c>
      <c r="P23290">
        <v>0</v>
      </c>
      <c r="Q23290">
        <v>0</v>
      </c>
      <c r="S23290">
        <v>0</v>
      </c>
    </row>
    <row r="23291" spans="1:19" x14ac:dyDescent="0.3">
      <c r="A23291" t="str">
        <f t="shared" ref="A23291:A23354" si="28">C23291&amp;" "&amp;D23291&amp;"Dec-24"</f>
        <v>ContemporaryTST FFDec-24</v>
      </c>
      <c r="B23291" s="171" t="s">
        <v>46208</v>
      </c>
      <c r="C23291" s="171" t="s">
        <v>10525</v>
      </c>
      <c r="D23291" s="171" t="s">
        <v>80</v>
      </c>
      <c r="E23291" s="11">
        <v>45627</v>
      </c>
      <c r="F23291">
        <v>0</v>
      </c>
      <c r="G23291">
        <v>0</v>
      </c>
      <c r="I23291">
        <v>0</v>
      </c>
      <c r="J23291">
        <v>0</v>
      </c>
      <c r="L23291">
        <v>0</v>
      </c>
      <c r="N23291">
        <v>0</v>
      </c>
      <c r="P23291">
        <v>0</v>
      </c>
      <c r="Q23291">
        <v>0</v>
      </c>
      <c r="S23291">
        <v>0</v>
      </c>
    </row>
    <row r="23292" spans="1:19" x14ac:dyDescent="0.3">
      <c r="A23292" t="str">
        <f t="shared" si="28"/>
        <v>Family MattersTST FFDec-24</v>
      </c>
      <c r="B23292" s="171" t="s">
        <v>46209</v>
      </c>
      <c r="C23292" s="171" t="s">
        <v>10528</v>
      </c>
      <c r="D23292" s="171" t="s">
        <v>80</v>
      </c>
      <c r="E23292" s="11">
        <v>45627</v>
      </c>
      <c r="F23292">
        <v>0</v>
      </c>
      <c r="G23292">
        <v>0</v>
      </c>
      <c r="I23292">
        <v>0</v>
      </c>
      <c r="J23292">
        <v>0</v>
      </c>
      <c r="L23292">
        <v>0</v>
      </c>
      <c r="N23292">
        <v>0</v>
      </c>
      <c r="P23292">
        <v>0</v>
      </c>
      <c r="Q23292">
        <v>0</v>
      </c>
      <c r="S23292">
        <v>0</v>
      </c>
    </row>
    <row r="23293" spans="1:19" x14ac:dyDescent="0.3">
      <c r="A23293" t="str">
        <f t="shared" si="28"/>
        <v>First Home CareTST FFDec-24</v>
      </c>
      <c r="B23293" s="171" t="s">
        <v>46210</v>
      </c>
      <c r="C23293" s="171" t="s">
        <v>10531</v>
      </c>
      <c r="D23293" s="171" t="s">
        <v>80</v>
      </c>
      <c r="E23293" s="11">
        <v>45627</v>
      </c>
      <c r="F23293">
        <v>0</v>
      </c>
      <c r="G23293">
        <v>0</v>
      </c>
      <c r="I23293">
        <v>0</v>
      </c>
      <c r="J23293">
        <v>0</v>
      </c>
      <c r="L23293">
        <v>0</v>
      </c>
      <c r="N23293">
        <v>0</v>
      </c>
      <c r="P23293">
        <v>0</v>
      </c>
      <c r="Q23293">
        <v>0</v>
      </c>
      <c r="S23293">
        <v>0</v>
      </c>
    </row>
    <row r="23294" spans="1:19" x14ac:dyDescent="0.3">
      <c r="A23294" t="str">
        <f t="shared" si="28"/>
        <v>Foundations for Home &amp; CommunityTST FFDec-24</v>
      </c>
      <c r="B23294" s="171" t="s">
        <v>46211</v>
      </c>
      <c r="C23294" s="171" t="s">
        <v>14880</v>
      </c>
      <c r="D23294" s="171" t="s">
        <v>80</v>
      </c>
      <c r="E23294" s="11">
        <v>45627</v>
      </c>
      <c r="F23294">
        <v>0</v>
      </c>
      <c r="G23294">
        <v>0</v>
      </c>
      <c r="I23294">
        <v>0</v>
      </c>
      <c r="J23294">
        <v>0</v>
      </c>
      <c r="L23294">
        <v>0</v>
      </c>
      <c r="N23294">
        <v>0</v>
      </c>
      <c r="P23294">
        <v>0</v>
      </c>
      <c r="Q23294">
        <v>0</v>
      </c>
      <c r="S23294">
        <v>0</v>
      </c>
    </row>
    <row r="23295" spans="1:19" x14ac:dyDescent="0.3">
      <c r="A23295" t="str">
        <f t="shared" si="28"/>
        <v>HillcrestTST FFDec-24</v>
      </c>
      <c r="B23295" s="171" t="s">
        <v>46212</v>
      </c>
      <c r="C23295" s="171" t="s">
        <v>10534</v>
      </c>
      <c r="D23295" s="171" t="s">
        <v>80</v>
      </c>
      <c r="E23295" s="11">
        <v>45627</v>
      </c>
      <c r="F23295">
        <v>0.5</v>
      </c>
      <c r="G23295">
        <v>1.5</v>
      </c>
      <c r="I23295">
        <v>4</v>
      </c>
      <c r="J23295">
        <v>2</v>
      </c>
      <c r="L23295">
        <v>8</v>
      </c>
      <c r="N23295">
        <v>4</v>
      </c>
      <c r="P23295">
        <v>0</v>
      </c>
      <c r="Q23295">
        <v>0</v>
      </c>
      <c r="S23295">
        <v>0</v>
      </c>
    </row>
    <row r="23296" spans="1:19" x14ac:dyDescent="0.3">
      <c r="A23296" t="str">
        <f t="shared" si="28"/>
        <v>MD Family ResourcesTST FFDec-24</v>
      </c>
      <c r="B23296" s="171" t="s">
        <v>46213</v>
      </c>
      <c r="C23296" s="171" t="s">
        <v>10537</v>
      </c>
      <c r="D23296" s="171" t="s">
        <v>80</v>
      </c>
      <c r="E23296" s="11">
        <v>45627</v>
      </c>
      <c r="F23296">
        <v>0</v>
      </c>
      <c r="G23296">
        <v>1</v>
      </c>
      <c r="I23296">
        <v>0</v>
      </c>
      <c r="J23296">
        <v>0</v>
      </c>
      <c r="L23296">
        <v>6</v>
      </c>
      <c r="N23296">
        <v>0</v>
      </c>
      <c r="P23296">
        <v>0</v>
      </c>
      <c r="Q23296">
        <v>0</v>
      </c>
      <c r="S23296">
        <v>0</v>
      </c>
    </row>
    <row r="23297" spans="1:19" x14ac:dyDescent="0.3">
      <c r="A23297" t="str">
        <f t="shared" si="28"/>
        <v>DBH Parent SupportABC CombinedDec-24</v>
      </c>
      <c r="B23297" s="171" t="s">
        <v>46214</v>
      </c>
      <c r="C23297" s="171" t="s">
        <v>34754</v>
      </c>
      <c r="D23297" s="171" t="s">
        <v>4</v>
      </c>
      <c r="E23297" s="11">
        <v>45627</v>
      </c>
      <c r="F23297">
        <v>0</v>
      </c>
      <c r="G23297">
        <v>0</v>
      </c>
      <c r="I23297">
        <v>0</v>
      </c>
      <c r="J23297">
        <v>0</v>
      </c>
      <c r="L23297">
        <v>0</v>
      </c>
      <c r="N23297">
        <v>0</v>
      </c>
      <c r="P23297">
        <v>0</v>
      </c>
      <c r="Q23297">
        <v>0</v>
      </c>
      <c r="S23297">
        <v>0</v>
      </c>
    </row>
    <row r="23298" spans="1:19" x14ac:dyDescent="0.3">
      <c r="A23298" t="str">
        <f t="shared" si="28"/>
        <v>Healthy FuturesABC CombinedDec-24</v>
      </c>
      <c r="B23298" s="171" t="s">
        <v>46215</v>
      </c>
      <c r="C23298" s="171" t="s">
        <v>34757</v>
      </c>
      <c r="D23298" s="171" t="s">
        <v>4</v>
      </c>
      <c r="E23298" s="11">
        <v>45627</v>
      </c>
      <c r="F23298">
        <v>0</v>
      </c>
      <c r="G23298">
        <v>0</v>
      </c>
      <c r="I23298">
        <v>0</v>
      </c>
      <c r="J23298">
        <v>0</v>
      </c>
      <c r="L23298">
        <v>0</v>
      </c>
      <c r="N23298">
        <v>0</v>
      </c>
      <c r="P23298">
        <v>0</v>
      </c>
      <c r="Q23298">
        <v>0</v>
      </c>
      <c r="S23298">
        <v>0</v>
      </c>
    </row>
    <row r="23299" spans="1:19" x14ac:dyDescent="0.3">
      <c r="A23299" t="str">
        <f t="shared" si="28"/>
        <v>Marys CenterABC CombinedDec-24</v>
      </c>
      <c r="B23299" s="171" t="s">
        <v>46216</v>
      </c>
      <c r="C23299" s="171" t="s">
        <v>34760</v>
      </c>
      <c r="D23299" s="171" t="s">
        <v>4</v>
      </c>
      <c r="E23299" s="11">
        <v>45627</v>
      </c>
      <c r="F23299">
        <v>0</v>
      </c>
      <c r="G23299">
        <v>0</v>
      </c>
      <c r="I23299">
        <v>0</v>
      </c>
      <c r="J23299">
        <v>0</v>
      </c>
      <c r="L23299">
        <v>0</v>
      </c>
      <c r="N23299">
        <v>0</v>
      </c>
      <c r="P23299">
        <v>0</v>
      </c>
      <c r="Q23299">
        <v>0</v>
      </c>
      <c r="S23299">
        <v>0</v>
      </c>
    </row>
    <row r="23300" spans="1:19" x14ac:dyDescent="0.3">
      <c r="A23300" t="str">
        <f t="shared" si="28"/>
        <v>Medstar GeorgetownABC CombinedDec-24</v>
      </c>
      <c r="B23300" s="171" t="s">
        <v>46217</v>
      </c>
      <c r="C23300" s="171" t="s">
        <v>34763</v>
      </c>
      <c r="D23300" s="171" t="s">
        <v>4</v>
      </c>
      <c r="E23300" s="11">
        <v>45627</v>
      </c>
      <c r="F23300">
        <v>0</v>
      </c>
      <c r="G23300">
        <v>0</v>
      </c>
      <c r="I23300">
        <v>0</v>
      </c>
      <c r="J23300">
        <v>0</v>
      </c>
      <c r="L23300">
        <v>0</v>
      </c>
      <c r="N23300">
        <v>0</v>
      </c>
      <c r="P23300">
        <v>0</v>
      </c>
      <c r="Q23300">
        <v>0</v>
      </c>
      <c r="S23300">
        <v>0</v>
      </c>
    </row>
    <row r="23301" spans="1:19" x14ac:dyDescent="0.3">
      <c r="A23301" t="str">
        <f t="shared" si="28"/>
        <v>PIECEABC CombinedDec-24</v>
      </c>
      <c r="B23301" s="171" t="s">
        <v>46218</v>
      </c>
      <c r="C23301" s="171" t="s">
        <v>34766</v>
      </c>
      <c r="D23301" s="171" t="s">
        <v>4</v>
      </c>
      <c r="E23301" s="11">
        <v>45627</v>
      </c>
      <c r="F23301">
        <v>0</v>
      </c>
      <c r="G23301">
        <v>0</v>
      </c>
      <c r="I23301">
        <v>0</v>
      </c>
      <c r="J23301">
        <v>0</v>
      </c>
      <c r="L23301">
        <v>0</v>
      </c>
      <c r="N23301">
        <v>0</v>
      </c>
      <c r="P23301">
        <v>0</v>
      </c>
      <c r="Q23301">
        <v>0</v>
      </c>
      <c r="S23301">
        <v>0</v>
      </c>
    </row>
    <row r="23302" spans="1:19" x14ac:dyDescent="0.3">
      <c r="A23302" t="str">
        <f t="shared" si="28"/>
        <v>Federal CityA-CRA CombinedDec-24</v>
      </c>
      <c r="B23302" s="171" t="s">
        <v>46219</v>
      </c>
      <c r="C23302" s="171" t="s">
        <v>119</v>
      </c>
      <c r="D23302" s="171" t="s">
        <v>4</v>
      </c>
      <c r="E23302" s="11">
        <v>45627</v>
      </c>
      <c r="F23302">
        <v>0</v>
      </c>
      <c r="G23302">
        <v>0</v>
      </c>
      <c r="I23302">
        <v>0</v>
      </c>
      <c r="J23302">
        <v>0</v>
      </c>
      <c r="L23302">
        <v>0</v>
      </c>
      <c r="N23302">
        <v>0</v>
      </c>
      <c r="P23302">
        <v>0</v>
      </c>
      <c r="Q23302">
        <v>0</v>
      </c>
      <c r="S23302">
        <v>0</v>
      </c>
    </row>
    <row r="23303" spans="1:19" x14ac:dyDescent="0.3">
      <c r="A23303" t="str">
        <f t="shared" si="28"/>
        <v>HillcrestA-CRA CombinedDec-24</v>
      </c>
      <c r="B23303" s="171" t="s">
        <v>46220</v>
      </c>
      <c r="C23303" s="171" t="s">
        <v>143</v>
      </c>
      <c r="D23303" s="171" t="s">
        <v>4</v>
      </c>
      <c r="E23303" s="11">
        <v>45627</v>
      </c>
      <c r="F23303">
        <v>0</v>
      </c>
      <c r="G23303">
        <v>0</v>
      </c>
      <c r="I23303">
        <v>0</v>
      </c>
      <c r="J23303">
        <v>0</v>
      </c>
      <c r="L23303">
        <v>0</v>
      </c>
      <c r="N23303">
        <v>0</v>
      </c>
      <c r="P23303">
        <v>0</v>
      </c>
      <c r="Q23303">
        <v>0</v>
      </c>
      <c r="S23303">
        <v>0</v>
      </c>
    </row>
    <row r="23304" spans="1:19" x14ac:dyDescent="0.3">
      <c r="A23304" t="str">
        <f t="shared" si="28"/>
        <v>LAYCA-CRA CombinedDec-24</v>
      </c>
      <c r="B23304" s="171" t="s">
        <v>46221</v>
      </c>
      <c r="C23304" s="171" t="s">
        <v>158</v>
      </c>
      <c r="D23304" s="171" t="s">
        <v>4</v>
      </c>
      <c r="E23304" s="11">
        <v>45627</v>
      </c>
      <c r="F23304">
        <v>0</v>
      </c>
      <c r="G23304">
        <v>0</v>
      </c>
      <c r="I23304">
        <v>0</v>
      </c>
      <c r="J23304">
        <v>0</v>
      </c>
      <c r="L23304">
        <v>0</v>
      </c>
      <c r="N23304">
        <v>0</v>
      </c>
      <c r="P23304">
        <v>0</v>
      </c>
      <c r="Q23304">
        <v>0</v>
      </c>
      <c r="S23304">
        <v>0</v>
      </c>
    </row>
    <row r="23305" spans="1:19" x14ac:dyDescent="0.3">
      <c r="A23305" t="str">
        <f t="shared" si="28"/>
        <v>RiversideA-CRA CombinedDec-24</v>
      </c>
      <c r="B23305" s="171" t="s">
        <v>46222</v>
      </c>
      <c r="C23305" s="171" t="s">
        <v>209</v>
      </c>
      <c r="D23305" s="171" t="s">
        <v>4</v>
      </c>
      <c r="E23305" s="11">
        <v>45627</v>
      </c>
      <c r="F23305">
        <v>0</v>
      </c>
      <c r="G23305">
        <v>0</v>
      </c>
      <c r="I23305">
        <v>0</v>
      </c>
      <c r="J23305">
        <v>0</v>
      </c>
      <c r="L23305">
        <v>0</v>
      </c>
      <c r="N23305">
        <v>0</v>
      </c>
      <c r="P23305">
        <v>0</v>
      </c>
      <c r="Q23305">
        <v>0</v>
      </c>
      <c r="S23305">
        <v>0</v>
      </c>
    </row>
    <row r="23306" spans="1:19" x14ac:dyDescent="0.3">
      <c r="A23306" t="str">
        <f t="shared" si="28"/>
        <v>Adoptions TogetherCPP-FV CombinedDec-24</v>
      </c>
      <c r="B23306" s="171" t="s">
        <v>46223</v>
      </c>
      <c r="C23306" s="171" t="s">
        <v>76</v>
      </c>
      <c r="D23306" s="171" t="s">
        <v>4</v>
      </c>
      <c r="E23306" s="11">
        <v>45627</v>
      </c>
      <c r="F23306">
        <v>0</v>
      </c>
      <c r="G23306">
        <v>0</v>
      </c>
      <c r="I23306">
        <v>0</v>
      </c>
      <c r="J23306">
        <v>0</v>
      </c>
      <c r="L23306">
        <v>0</v>
      </c>
      <c r="N23306">
        <v>0</v>
      </c>
      <c r="P23306">
        <v>0</v>
      </c>
      <c r="Q23306">
        <v>0</v>
      </c>
      <c r="S23306">
        <v>0</v>
      </c>
    </row>
    <row r="23307" spans="1:19" x14ac:dyDescent="0.3">
      <c r="A23307" t="str">
        <f t="shared" si="28"/>
        <v>Foundations for Home &amp; CommunityCPP-FV CombinedDec-24</v>
      </c>
      <c r="B23307" s="171" t="s">
        <v>46224</v>
      </c>
      <c r="C23307" s="171" t="s">
        <v>15344</v>
      </c>
      <c r="D23307" s="171" t="s">
        <v>4</v>
      </c>
      <c r="E23307" s="11">
        <v>45627</v>
      </c>
      <c r="F23307">
        <v>0</v>
      </c>
      <c r="G23307">
        <v>0</v>
      </c>
      <c r="I23307">
        <v>0</v>
      </c>
      <c r="J23307">
        <v>0</v>
      </c>
      <c r="L23307">
        <v>0</v>
      </c>
      <c r="N23307">
        <v>0</v>
      </c>
      <c r="P23307">
        <v>0</v>
      </c>
      <c r="Q23307">
        <v>0</v>
      </c>
      <c r="S23307">
        <v>0</v>
      </c>
    </row>
    <row r="23308" spans="1:19" x14ac:dyDescent="0.3">
      <c r="A23308" t="str">
        <f t="shared" si="28"/>
        <v>Medstar GeorgetownCPP-FV CombinedDec-24</v>
      </c>
      <c r="B23308" s="171" t="s">
        <v>46225</v>
      </c>
      <c r="C23308" s="171" t="s">
        <v>24281</v>
      </c>
      <c r="D23308" s="171" t="s">
        <v>4</v>
      </c>
      <c r="E23308" s="11">
        <v>45627</v>
      </c>
      <c r="F23308">
        <v>0</v>
      </c>
      <c r="G23308">
        <v>0</v>
      </c>
      <c r="I23308">
        <v>0</v>
      </c>
      <c r="J23308">
        <v>0</v>
      </c>
      <c r="L23308">
        <v>0</v>
      </c>
      <c r="N23308">
        <v>0</v>
      </c>
      <c r="P23308">
        <v>0</v>
      </c>
      <c r="Q23308">
        <v>0</v>
      </c>
      <c r="S23308">
        <v>0</v>
      </c>
    </row>
    <row r="23309" spans="1:19" x14ac:dyDescent="0.3">
      <c r="A23309" t="str">
        <f t="shared" si="28"/>
        <v>Better MorningsFFT CombinedDec-24</v>
      </c>
      <c r="B23309" s="171" t="s">
        <v>46226</v>
      </c>
      <c r="C23309" s="171" t="s">
        <v>24284</v>
      </c>
      <c r="D23309" s="171" t="s">
        <v>4</v>
      </c>
      <c r="E23309" s="11">
        <v>45627</v>
      </c>
      <c r="F23309">
        <v>3</v>
      </c>
      <c r="G23309">
        <v>3</v>
      </c>
      <c r="I23309">
        <v>6</v>
      </c>
      <c r="J23309">
        <v>17</v>
      </c>
      <c r="L23309">
        <v>17</v>
      </c>
      <c r="N23309">
        <v>5</v>
      </c>
      <c r="P23309">
        <v>3</v>
      </c>
      <c r="Q23309">
        <v>5</v>
      </c>
      <c r="S23309">
        <v>1</v>
      </c>
    </row>
    <row r="23310" spans="1:19" x14ac:dyDescent="0.3">
      <c r="A23310" t="str">
        <f t="shared" si="28"/>
        <v>CatholicFFT CombinedDec-24</v>
      </c>
      <c r="B23310" s="171" t="s">
        <v>46227</v>
      </c>
      <c r="C23310" s="171" t="s">
        <v>18126</v>
      </c>
      <c r="D23310" s="171" t="s">
        <v>4</v>
      </c>
      <c r="E23310" s="11">
        <v>45627</v>
      </c>
      <c r="F23310">
        <v>0</v>
      </c>
      <c r="G23310">
        <v>0</v>
      </c>
      <c r="I23310">
        <v>0</v>
      </c>
      <c r="J23310">
        <v>0</v>
      </c>
      <c r="L23310">
        <v>0</v>
      </c>
      <c r="N23310">
        <v>0</v>
      </c>
      <c r="P23310">
        <v>0</v>
      </c>
      <c r="Q23310">
        <v>0</v>
      </c>
      <c r="S23310">
        <v>0</v>
      </c>
    </row>
    <row r="23311" spans="1:19" x14ac:dyDescent="0.3">
      <c r="A23311" t="str">
        <f t="shared" si="28"/>
        <v>First Home CareFFT CombinedDec-24</v>
      </c>
      <c r="B23311" s="171" t="s">
        <v>46228</v>
      </c>
      <c r="C23311" s="171" t="s">
        <v>128</v>
      </c>
      <c r="D23311" s="171" t="s">
        <v>4</v>
      </c>
      <c r="E23311" s="11">
        <v>45627</v>
      </c>
      <c r="F23311">
        <v>0</v>
      </c>
      <c r="G23311">
        <v>0</v>
      </c>
      <c r="I23311">
        <v>0</v>
      </c>
      <c r="J23311">
        <v>0</v>
      </c>
      <c r="L23311">
        <v>0</v>
      </c>
      <c r="N23311">
        <v>0</v>
      </c>
      <c r="P23311">
        <v>0</v>
      </c>
      <c r="Q23311">
        <v>0</v>
      </c>
      <c r="S23311">
        <v>0</v>
      </c>
    </row>
    <row r="23312" spans="1:19" x14ac:dyDescent="0.3">
      <c r="A23312" t="str">
        <f t="shared" si="28"/>
        <v>Foundations for Home &amp; CommunityFFT CombinedDec-24</v>
      </c>
      <c r="B23312" s="171" t="s">
        <v>46229</v>
      </c>
      <c r="C23312" s="171" t="s">
        <v>14824</v>
      </c>
      <c r="D23312" s="171" t="s">
        <v>4</v>
      </c>
      <c r="E23312" s="11">
        <v>45627</v>
      </c>
      <c r="F23312">
        <v>0</v>
      </c>
      <c r="G23312">
        <v>0</v>
      </c>
      <c r="I23312">
        <v>0</v>
      </c>
      <c r="J23312">
        <v>0</v>
      </c>
      <c r="L23312">
        <v>0</v>
      </c>
      <c r="N23312">
        <v>0</v>
      </c>
      <c r="P23312">
        <v>0</v>
      </c>
      <c r="Q23312">
        <v>0</v>
      </c>
      <c r="S23312">
        <v>0</v>
      </c>
    </row>
    <row r="23313" spans="1:19" x14ac:dyDescent="0.3">
      <c r="A23313" t="str">
        <f t="shared" si="28"/>
        <v>HillcrestFFT CombinedDec-24</v>
      </c>
      <c r="B23313" s="171" t="s">
        <v>46230</v>
      </c>
      <c r="C23313" s="171" t="s">
        <v>152</v>
      </c>
      <c r="D23313" s="171" t="s">
        <v>4</v>
      </c>
      <c r="E23313" s="11">
        <v>45627</v>
      </c>
      <c r="F23313">
        <v>0</v>
      </c>
      <c r="G23313">
        <v>0</v>
      </c>
      <c r="I23313">
        <v>0</v>
      </c>
      <c r="J23313">
        <v>0</v>
      </c>
      <c r="L23313">
        <v>0</v>
      </c>
      <c r="N23313">
        <v>0</v>
      </c>
      <c r="P23313">
        <v>0</v>
      </c>
      <c r="Q23313">
        <v>0</v>
      </c>
      <c r="S23313">
        <v>0</v>
      </c>
    </row>
    <row r="23314" spans="1:19" x14ac:dyDescent="0.3">
      <c r="A23314" t="str">
        <f t="shared" si="28"/>
        <v>PASSFFT CombinedDec-24</v>
      </c>
      <c r="B23314" s="171" t="s">
        <v>46231</v>
      </c>
      <c r="C23314" s="171" t="s">
        <v>194</v>
      </c>
      <c r="D23314" s="171" t="s">
        <v>4</v>
      </c>
      <c r="E23314" s="11">
        <v>45627</v>
      </c>
      <c r="F23314">
        <v>2</v>
      </c>
      <c r="G23314">
        <v>5</v>
      </c>
      <c r="I23314">
        <v>12</v>
      </c>
      <c r="J23314">
        <v>12</v>
      </c>
      <c r="L23314">
        <v>27</v>
      </c>
      <c r="N23314">
        <v>11</v>
      </c>
      <c r="P23314">
        <v>0</v>
      </c>
      <c r="Q23314">
        <v>0</v>
      </c>
      <c r="S23314">
        <v>1</v>
      </c>
    </row>
    <row r="23315" spans="1:19" x14ac:dyDescent="0.3">
      <c r="A23315" t="str">
        <f t="shared" si="28"/>
        <v>Better MorningsIHCBS CombinedDec-24</v>
      </c>
      <c r="B23315" s="171" t="s">
        <v>46232</v>
      </c>
      <c r="C23315" s="171" t="s">
        <v>39930</v>
      </c>
      <c r="D23315" s="171" t="s">
        <v>4</v>
      </c>
      <c r="E23315" s="11">
        <v>45627</v>
      </c>
      <c r="F23315">
        <v>4</v>
      </c>
      <c r="G23315">
        <v>4</v>
      </c>
      <c r="I23315">
        <v>17</v>
      </c>
      <c r="J23315">
        <v>16</v>
      </c>
      <c r="L23315">
        <v>16</v>
      </c>
      <c r="N23315">
        <v>8</v>
      </c>
      <c r="P23315">
        <v>4</v>
      </c>
      <c r="Q23315">
        <v>5</v>
      </c>
      <c r="S23315">
        <v>9</v>
      </c>
    </row>
    <row r="23316" spans="1:19" x14ac:dyDescent="0.3">
      <c r="A23316" t="str">
        <f t="shared" si="28"/>
        <v>HillcrestIHCBS CombinedDec-24</v>
      </c>
      <c r="B23316" s="171" t="s">
        <v>46233</v>
      </c>
      <c r="C23316" s="171" t="s">
        <v>39933</v>
      </c>
      <c r="D23316" s="171" t="s">
        <v>4</v>
      </c>
      <c r="E23316" s="11">
        <v>45627</v>
      </c>
      <c r="F23316">
        <v>3</v>
      </c>
      <c r="G23316">
        <v>4</v>
      </c>
      <c r="I23316">
        <v>18</v>
      </c>
      <c r="J23316">
        <v>12</v>
      </c>
      <c r="L23316">
        <v>16</v>
      </c>
      <c r="N23316">
        <v>16</v>
      </c>
      <c r="P23316">
        <v>0</v>
      </c>
      <c r="Q23316">
        <v>0</v>
      </c>
      <c r="S23316">
        <v>2</v>
      </c>
    </row>
    <row r="23317" spans="1:19" x14ac:dyDescent="0.3">
      <c r="A23317" t="str">
        <f t="shared" si="28"/>
        <v>LESIHCBS CombinedDec-24</v>
      </c>
      <c r="B23317" s="171" t="s">
        <v>46234</v>
      </c>
      <c r="C23317" s="171" t="s">
        <v>39936</v>
      </c>
      <c r="D23317" s="171" t="s">
        <v>4</v>
      </c>
      <c r="E23317" s="11">
        <v>45627</v>
      </c>
      <c r="F23317">
        <v>0</v>
      </c>
      <c r="G23317">
        <v>0</v>
      </c>
      <c r="I23317">
        <v>0</v>
      </c>
      <c r="J23317">
        <v>0</v>
      </c>
      <c r="L23317">
        <v>0</v>
      </c>
      <c r="N23317">
        <v>0</v>
      </c>
      <c r="P23317">
        <v>0</v>
      </c>
      <c r="Q23317">
        <v>0</v>
      </c>
      <c r="S23317">
        <v>0</v>
      </c>
    </row>
    <row r="23318" spans="1:19" x14ac:dyDescent="0.3">
      <c r="A23318" t="str">
        <f t="shared" si="28"/>
        <v>MBI HSIHCBS CombinedDec-24</v>
      </c>
      <c r="B23318" s="171" t="s">
        <v>46235</v>
      </c>
      <c r="C23318" s="171" t="s">
        <v>39939</v>
      </c>
      <c r="D23318" s="171" t="s">
        <v>4</v>
      </c>
      <c r="E23318" s="11">
        <v>45627</v>
      </c>
      <c r="F23318">
        <v>2</v>
      </c>
      <c r="G23318">
        <v>2</v>
      </c>
      <c r="I23318">
        <v>7</v>
      </c>
      <c r="J23318">
        <v>8</v>
      </c>
      <c r="L23318">
        <v>8</v>
      </c>
      <c r="N23318">
        <v>5</v>
      </c>
      <c r="P23318">
        <v>1</v>
      </c>
      <c r="Q23318">
        <v>1</v>
      </c>
      <c r="S23318">
        <v>2</v>
      </c>
    </row>
    <row r="23319" spans="1:19" x14ac:dyDescent="0.3">
      <c r="A23319" t="str">
        <f t="shared" si="28"/>
        <v>MD Family ResourcesIHCBS CombinedDec-24</v>
      </c>
      <c r="B23319" s="171" t="s">
        <v>46236</v>
      </c>
      <c r="C23319" s="171" t="s">
        <v>39942</v>
      </c>
      <c r="D23319" s="171" t="s">
        <v>4</v>
      </c>
      <c r="E23319" s="11">
        <v>45627</v>
      </c>
      <c r="F23319">
        <v>0</v>
      </c>
      <c r="G23319">
        <v>4</v>
      </c>
      <c r="I23319">
        <v>0</v>
      </c>
      <c r="J23319">
        <v>0</v>
      </c>
      <c r="L23319">
        <v>16</v>
      </c>
      <c r="N23319">
        <v>0</v>
      </c>
      <c r="P23319">
        <v>0</v>
      </c>
      <c r="Q23319">
        <v>0</v>
      </c>
      <c r="S23319">
        <v>0</v>
      </c>
    </row>
    <row r="23320" spans="1:19" x14ac:dyDescent="0.3">
      <c r="A23320" t="str">
        <f t="shared" si="28"/>
        <v>UmbrellaIHCBS CombinedDec-24</v>
      </c>
      <c r="B23320" s="171" t="s">
        <v>46237</v>
      </c>
      <c r="C23320" s="171" t="s">
        <v>45944</v>
      </c>
      <c r="D23320" s="171" t="s">
        <v>4</v>
      </c>
      <c r="E23320" s="11">
        <v>45627</v>
      </c>
      <c r="F23320">
        <v>2</v>
      </c>
      <c r="G23320">
        <v>2</v>
      </c>
      <c r="I23320">
        <v>1</v>
      </c>
      <c r="J23320">
        <v>8</v>
      </c>
      <c r="L23320">
        <v>8</v>
      </c>
      <c r="N23320">
        <v>1</v>
      </c>
      <c r="P23320">
        <v>0</v>
      </c>
      <c r="Q23320">
        <v>0</v>
      </c>
      <c r="S23320">
        <v>0</v>
      </c>
    </row>
    <row r="23321" spans="1:19" x14ac:dyDescent="0.3">
      <c r="A23321" t="str">
        <f t="shared" si="28"/>
        <v>LCSMST CombinedDec-24</v>
      </c>
      <c r="B23321" s="171" t="s">
        <v>46238</v>
      </c>
      <c r="C23321" s="171" t="s">
        <v>18137</v>
      </c>
      <c r="D23321" s="171" t="s">
        <v>4</v>
      </c>
      <c r="E23321" s="11">
        <v>45627</v>
      </c>
      <c r="F23321">
        <v>0</v>
      </c>
      <c r="G23321">
        <v>0</v>
      </c>
      <c r="I23321">
        <v>0</v>
      </c>
      <c r="J23321">
        <v>0</v>
      </c>
      <c r="L23321">
        <v>0</v>
      </c>
      <c r="N23321">
        <v>0</v>
      </c>
      <c r="P23321">
        <v>0</v>
      </c>
      <c r="Q23321">
        <v>0</v>
      </c>
      <c r="S23321">
        <v>0</v>
      </c>
    </row>
    <row r="23322" spans="1:19" x14ac:dyDescent="0.3">
      <c r="A23322" t="str">
        <f t="shared" si="28"/>
        <v>MBI HSMST CombinedDec-24</v>
      </c>
      <c r="B23322" s="171" t="s">
        <v>46239</v>
      </c>
      <c r="C23322" s="171" t="s">
        <v>18140</v>
      </c>
      <c r="D23322" s="171" t="s">
        <v>4</v>
      </c>
      <c r="E23322" s="11">
        <v>45627</v>
      </c>
      <c r="F23322">
        <v>1</v>
      </c>
      <c r="G23322">
        <v>4</v>
      </c>
      <c r="I23322">
        <v>4</v>
      </c>
      <c r="J23322">
        <v>5</v>
      </c>
      <c r="L23322">
        <v>20</v>
      </c>
      <c r="N23322">
        <v>4</v>
      </c>
      <c r="P23322">
        <v>3</v>
      </c>
      <c r="Q23322">
        <v>3</v>
      </c>
      <c r="S23322">
        <v>0</v>
      </c>
    </row>
    <row r="23323" spans="1:19" x14ac:dyDescent="0.3">
      <c r="A23323" t="str">
        <f t="shared" si="28"/>
        <v>Youth VillagesMST CombinedDec-24</v>
      </c>
      <c r="B23323" s="171" t="s">
        <v>46240</v>
      </c>
      <c r="C23323" s="171" t="s">
        <v>236</v>
      </c>
      <c r="D23323" s="171" t="s">
        <v>4</v>
      </c>
      <c r="E23323" s="11">
        <v>45627</v>
      </c>
      <c r="F23323">
        <v>0</v>
      </c>
      <c r="G23323">
        <v>0</v>
      </c>
      <c r="I23323">
        <v>0</v>
      </c>
      <c r="J23323">
        <v>0</v>
      </c>
      <c r="L23323">
        <v>0</v>
      </c>
      <c r="N23323">
        <v>0</v>
      </c>
      <c r="P23323">
        <v>0</v>
      </c>
      <c r="Q23323">
        <v>0</v>
      </c>
      <c r="S23323">
        <v>0</v>
      </c>
    </row>
    <row r="23324" spans="1:19" x14ac:dyDescent="0.3">
      <c r="A23324" t="str">
        <f t="shared" si="28"/>
        <v>Youth VillagesMST-PSB CombinedDec-24</v>
      </c>
      <c r="B23324" s="171" t="s">
        <v>46241</v>
      </c>
      <c r="C23324" s="171" t="s">
        <v>239</v>
      </c>
      <c r="D23324" s="171" t="s">
        <v>4</v>
      </c>
      <c r="E23324" s="11">
        <v>45627</v>
      </c>
      <c r="F23324">
        <v>0</v>
      </c>
      <c r="G23324">
        <v>0</v>
      </c>
      <c r="I23324">
        <v>0</v>
      </c>
      <c r="J23324">
        <v>0</v>
      </c>
      <c r="L23324">
        <v>0</v>
      </c>
      <c r="N23324">
        <v>0</v>
      </c>
      <c r="P23324">
        <v>0</v>
      </c>
      <c r="Q23324">
        <v>0</v>
      </c>
      <c r="S23324">
        <v>0</v>
      </c>
    </row>
    <row r="23325" spans="1:19" x14ac:dyDescent="0.3">
      <c r="A23325" t="str">
        <f t="shared" si="28"/>
        <v>Medstar GeorgetownPCIT CombinedDec-24</v>
      </c>
      <c r="B23325" s="171" t="s">
        <v>46242</v>
      </c>
      <c r="C23325" s="171" t="s">
        <v>24315</v>
      </c>
      <c r="D23325" s="171" t="s">
        <v>4</v>
      </c>
      <c r="E23325" s="11">
        <v>45627</v>
      </c>
      <c r="F23325">
        <v>0</v>
      </c>
      <c r="G23325">
        <v>0</v>
      </c>
      <c r="I23325">
        <v>0</v>
      </c>
      <c r="J23325">
        <v>0</v>
      </c>
      <c r="L23325">
        <v>0</v>
      </c>
      <c r="N23325">
        <v>0</v>
      </c>
      <c r="P23325">
        <v>0</v>
      </c>
      <c r="Q23325">
        <v>0</v>
      </c>
      <c r="S23325">
        <v>0</v>
      </c>
    </row>
    <row r="23326" spans="1:19" x14ac:dyDescent="0.3">
      <c r="A23326" t="str">
        <f t="shared" si="28"/>
        <v>Marys CenterPCIT-T CombinedDec-24</v>
      </c>
      <c r="B23326" s="171" t="s">
        <v>46243</v>
      </c>
      <c r="C23326" s="171" t="s">
        <v>34833</v>
      </c>
      <c r="D23326" s="171" t="s">
        <v>4</v>
      </c>
      <c r="E23326" s="11">
        <v>45627</v>
      </c>
      <c r="F23326">
        <v>1.5</v>
      </c>
      <c r="G23326">
        <v>2</v>
      </c>
      <c r="I23326">
        <v>0</v>
      </c>
      <c r="J23326">
        <v>9</v>
      </c>
      <c r="L23326">
        <v>11</v>
      </c>
      <c r="N23326">
        <v>0</v>
      </c>
      <c r="P23326">
        <v>0</v>
      </c>
      <c r="Q23326">
        <v>0</v>
      </c>
      <c r="S23326">
        <v>0</v>
      </c>
    </row>
    <row r="23327" spans="1:19" x14ac:dyDescent="0.3">
      <c r="A23327" t="str">
        <f t="shared" si="28"/>
        <v>PIECEPCIT-T CombinedDec-24</v>
      </c>
      <c r="B23327" s="171" t="s">
        <v>46244</v>
      </c>
      <c r="C23327" s="171" t="s">
        <v>34836</v>
      </c>
      <c r="D23327" s="171" t="s">
        <v>4</v>
      </c>
      <c r="E23327" s="11">
        <v>45627</v>
      </c>
      <c r="F23327">
        <v>1.5</v>
      </c>
      <c r="G23327">
        <v>1.5</v>
      </c>
      <c r="I23327">
        <v>2</v>
      </c>
      <c r="J23327">
        <v>7</v>
      </c>
      <c r="L23327">
        <v>7</v>
      </c>
      <c r="N23327">
        <v>2</v>
      </c>
      <c r="P23327">
        <v>0</v>
      </c>
      <c r="Q23327">
        <v>0</v>
      </c>
      <c r="S23327">
        <v>0</v>
      </c>
    </row>
    <row r="23328" spans="1:19" x14ac:dyDescent="0.3">
      <c r="A23328" t="str">
        <f t="shared" si="28"/>
        <v>Community ConnectionsTF-CBT CombinedDec-24</v>
      </c>
      <c r="B23328" s="171" t="s">
        <v>46245</v>
      </c>
      <c r="C23328" s="171" t="s">
        <v>113</v>
      </c>
      <c r="D23328" s="171" t="s">
        <v>4</v>
      </c>
      <c r="E23328" s="11">
        <v>45627</v>
      </c>
      <c r="F23328">
        <v>0</v>
      </c>
      <c r="G23328">
        <v>0</v>
      </c>
      <c r="I23328">
        <v>0</v>
      </c>
      <c r="J23328">
        <v>0</v>
      </c>
      <c r="L23328">
        <v>0</v>
      </c>
      <c r="N23328">
        <v>0</v>
      </c>
      <c r="P23328">
        <v>0</v>
      </c>
      <c r="Q23328">
        <v>0</v>
      </c>
      <c r="S23328">
        <v>0</v>
      </c>
    </row>
    <row r="23329" spans="1:19" x14ac:dyDescent="0.3">
      <c r="A23329" t="str">
        <f t="shared" si="28"/>
        <v>First Home CareTF-CBT CombinedDec-24</v>
      </c>
      <c r="B23329" s="171" t="s">
        <v>46246</v>
      </c>
      <c r="C23329" s="171" t="s">
        <v>131</v>
      </c>
      <c r="D23329" s="171" t="s">
        <v>4</v>
      </c>
      <c r="E23329" s="11">
        <v>45627</v>
      </c>
      <c r="F23329">
        <v>0</v>
      </c>
      <c r="G23329">
        <v>0</v>
      </c>
      <c r="I23329">
        <v>0</v>
      </c>
      <c r="J23329">
        <v>0</v>
      </c>
      <c r="L23329">
        <v>0</v>
      </c>
      <c r="N23329">
        <v>0</v>
      </c>
      <c r="P23329">
        <v>0</v>
      </c>
      <c r="Q23329">
        <v>0</v>
      </c>
      <c r="S23329">
        <v>0</v>
      </c>
    </row>
    <row r="23330" spans="1:19" x14ac:dyDescent="0.3">
      <c r="A23330" t="str">
        <f t="shared" si="28"/>
        <v>Foundations for Home &amp; CommunityTF-CBT CombinedDec-24</v>
      </c>
      <c r="B23330" s="171" t="s">
        <v>46247</v>
      </c>
      <c r="C23330" s="171" t="s">
        <v>14843</v>
      </c>
      <c r="D23330" s="171" t="s">
        <v>4</v>
      </c>
      <c r="E23330" s="11">
        <v>45627</v>
      </c>
      <c r="F23330">
        <v>0</v>
      </c>
      <c r="G23330">
        <v>0</v>
      </c>
      <c r="I23330">
        <v>0</v>
      </c>
      <c r="J23330">
        <v>0</v>
      </c>
      <c r="L23330">
        <v>0</v>
      </c>
      <c r="N23330">
        <v>0</v>
      </c>
      <c r="P23330">
        <v>0</v>
      </c>
      <c r="Q23330">
        <v>0</v>
      </c>
      <c r="S23330">
        <v>0</v>
      </c>
    </row>
    <row r="23331" spans="1:19" x14ac:dyDescent="0.3">
      <c r="A23331" t="str">
        <f t="shared" si="28"/>
        <v>HillcrestTF-CBT CombinedDec-24</v>
      </c>
      <c r="B23331" s="171" t="s">
        <v>46248</v>
      </c>
      <c r="C23331" s="171" t="s">
        <v>155</v>
      </c>
      <c r="D23331" s="171" t="s">
        <v>4</v>
      </c>
      <c r="E23331" s="11">
        <v>45627</v>
      </c>
      <c r="F23331">
        <v>4</v>
      </c>
      <c r="G23331">
        <v>6</v>
      </c>
      <c r="I23331">
        <v>13</v>
      </c>
      <c r="J23331">
        <v>23</v>
      </c>
      <c r="L23331">
        <v>31</v>
      </c>
      <c r="N23331">
        <v>13</v>
      </c>
      <c r="P23331">
        <v>0</v>
      </c>
      <c r="Q23331">
        <v>0</v>
      </c>
      <c r="S23331">
        <v>0</v>
      </c>
    </row>
    <row r="23332" spans="1:19" x14ac:dyDescent="0.3">
      <c r="A23332" t="str">
        <f t="shared" si="28"/>
        <v>LAYCTF-CBT CombinedDec-24</v>
      </c>
      <c r="B23332" s="171" t="s">
        <v>46249</v>
      </c>
      <c r="C23332" s="171" t="s">
        <v>16232</v>
      </c>
      <c r="D23332" s="171" t="s">
        <v>4</v>
      </c>
      <c r="E23332" s="11">
        <v>45627</v>
      </c>
      <c r="F23332">
        <v>2.5</v>
      </c>
      <c r="G23332">
        <v>3.5</v>
      </c>
      <c r="I23332">
        <v>9</v>
      </c>
      <c r="J23332">
        <v>15</v>
      </c>
      <c r="L23332">
        <v>21</v>
      </c>
      <c r="N23332">
        <v>8</v>
      </c>
      <c r="P23332">
        <v>0</v>
      </c>
      <c r="Q23332">
        <v>0</v>
      </c>
      <c r="S23332">
        <v>1</v>
      </c>
    </row>
    <row r="23333" spans="1:19" x14ac:dyDescent="0.3">
      <c r="A23333" t="str">
        <f t="shared" si="28"/>
        <v>LESTF-CBT CombinedDec-24</v>
      </c>
      <c r="B23333" s="171" t="s">
        <v>46250</v>
      </c>
      <c r="C23333" s="171" t="s">
        <v>16557</v>
      </c>
      <c r="D23333" s="171" t="s">
        <v>4</v>
      </c>
      <c r="E23333" s="11">
        <v>45627</v>
      </c>
      <c r="F23333">
        <v>0</v>
      </c>
      <c r="G23333">
        <v>0</v>
      </c>
      <c r="I23333">
        <v>0</v>
      </c>
      <c r="J23333">
        <v>0</v>
      </c>
      <c r="L23333">
        <v>0</v>
      </c>
      <c r="N23333">
        <v>0</v>
      </c>
      <c r="P23333">
        <v>0</v>
      </c>
      <c r="Q23333">
        <v>0</v>
      </c>
      <c r="S23333">
        <v>0</v>
      </c>
    </row>
    <row r="23334" spans="1:19" x14ac:dyDescent="0.3">
      <c r="A23334" t="str">
        <f t="shared" si="28"/>
        <v>MD Family ResourcesTF-CBT CombinedDec-24</v>
      </c>
      <c r="B23334" s="171" t="s">
        <v>46251</v>
      </c>
      <c r="C23334" s="171" t="s">
        <v>188</v>
      </c>
      <c r="D23334" s="171" t="s">
        <v>4</v>
      </c>
      <c r="E23334" s="11">
        <v>45627</v>
      </c>
      <c r="F23334">
        <v>1.5</v>
      </c>
      <c r="G23334">
        <v>3.5</v>
      </c>
      <c r="I23334">
        <v>4</v>
      </c>
      <c r="J23334">
        <v>8</v>
      </c>
      <c r="L23334">
        <v>20</v>
      </c>
      <c r="N23334">
        <v>4</v>
      </c>
      <c r="P23334">
        <v>0</v>
      </c>
      <c r="Q23334">
        <v>0</v>
      </c>
      <c r="S23334">
        <v>0</v>
      </c>
    </row>
    <row r="23335" spans="1:19" x14ac:dyDescent="0.3">
      <c r="A23335" t="str">
        <f t="shared" si="28"/>
        <v>UniversalTF-CBT CombinedDec-24</v>
      </c>
      <c r="B23335" s="171" t="s">
        <v>46252</v>
      </c>
      <c r="C23335" s="171" t="s">
        <v>227</v>
      </c>
      <c r="D23335" s="171" t="s">
        <v>4</v>
      </c>
      <c r="E23335" s="11">
        <v>45627</v>
      </c>
      <c r="F23335">
        <v>0</v>
      </c>
      <c r="G23335">
        <v>0</v>
      </c>
      <c r="I23335">
        <v>0</v>
      </c>
      <c r="J23335">
        <v>0</v>
      </c>
      <c r="L23335">
        <v>0</v>
      </c>
      <c r="N23335">
        <v>0</v>
      </c>
      <c r="P23335">
        <v>0</v>
      </c>
      <c r="Q23335">
        <v>0</v>
      </c>
      <c r="S23335">
        <v>0</v>
      </c>
    </row>
    <row r="23336" spans="1:19" x14ac:dyDescent="0.3">
      <c r="A23336" t="str">
        <f t="shared" si="28"/>
        <v>Community ConnectionsTIP CombinedDec-24</v>
      </c>
      <c r="B23336" s="171" t="s">
        <v>46253</v>
      </c>
      <c r="C23336" s="171" t="s">
        <v>116</v>
      </c>
      <c r="D23336" s="171" t="s">
        <v>4</v>
      </c>
      <c r="E23336" s="11">
        <v>45627</v>
      </c>
      <c r="F23336">
        <v>0</v>
      </c>
      <c r="G23336">
        <v>0</v>
      </c>
      <c r="I23336">
        <v>0</v>
      </c>
      <c r="J23336">
        <v>0</v>
      </c>
      <c r="L23336">
        <v>0</v>
      </c>
      <c r="N23336">
        <v>0</v>
      </c>
      <c r="P23336">
        <v>0</v>
      </c>
      <c r="Q23336">
        <v>0</v>
      </c>
      <c r="S23336">
        <v>0</v>
      </c>
    </row>
    <row r="23337" spans="1:19" x14ac:dyDescent="0.3">
      <c r="A23337" t="str">
        <f t="shared" si="28"/>
        <v>ContemporaryTIP CombinedDec-24</v>
      </c>
      <c r="B23337" s="171" t="s">
        <v>46254</v>
      </c>
      <c r="C23337" s="171" t="s">
        <v>9862</v>
      </c>
      <c r="D23337" s="171" t="s">
        <v>4</v>
      </c>
      <c r="E23337" s="11">
        <v>45627</v>
      </c>
      <c r="F23337">
        <v>0</v>
      </c>
      <c r="G23337">
        <v>0</v>
      </c>
      <c r="I23337">
        <v>0</v>
      </c>
      <c r="J23337">
        <v>0</v>
      </c>
      <c r="L23337">
        <v>0</v>
      </c>
      <c r="N23337">
        <v>0</v>
      </c>
      <c r="P23337">
        <v>0</v>
      </c>
      <c r="Q23337">
        <v>0</v>
      </c>
      <c r="S23337">
        <v>0</v>
      </c>
    </row>
    <row r="23338" spans="1:19" x14ac:dyDescent="0.3">
      <c r="A23338" t="str">
        <f t="shared" si="28"/>
        <v>FPSTIP CombinedDec-24</v>
      </c>
      <c r="B23338" s="171" t="s">
        <v>46255</v>
      </c>
      <c r="C23338" s="171" t="s">
        <v>140</v>
      </c>
      <c r="D23338" s="171" t="s">
        <v>4</v>
      </c>
      <c r="E23338" s="11">
        <v>45627</v>
      </c>
      <c r="F23338">
        <v>0</v>
      </c>
      <c r="G23338">
        <v>0</v>
      </c>
      <c r="I23338">
        <v>0</v>
      </c>
      <c r="J23338">
        <v>0</v>
      </c>
      <c r="L23338">
        <v>0</v>
      </c>
      <c r="N23338">
        <v>0</v>
      </c>
      <c r="P23338">
        <v>0</v>
      </c>
      <c r="Q23338">
        <v>0</v>
      </c>
      <c r="S23338">
        <v>0</v>
      </c>
    </row>
    <row r="23339" spans="1:19" x14ac:dyDescent="0.3">
      <c r="A23339" t="str">
        <f t="shared" si="28"/>
        <v>Green DoorTIP CombinedDec-24</v>
      </c>
      <c r="B23339" s="171" t="s">
        <v>46256</v>
      </c>
      <c r="C23339" s="171" t="s">
        <v>8590</v>
      </c>
      <c r="D23339" s="171" t="s">
        <v>4</v>
      </c>
      <c r="E23339" s="11">
        <v>45627</v>
      </c>
      <c r="F23339">
        <v>0</v>
      </c>
      <c r="G23339">
        <v>0</v>
      </c>
      <c r="I23339">
        <v>0</v>
      </c>
      <c r="J23339">
        <v>0</v>
      </c>
      <c r="L23339">
        <v>0</v>
      </c>
      <c r="N23339">
        <v>0</v>
      </c>
      <c r="P23339">
        <v>0</v>
      </c>
      <c r="Q23339">
        <v>0</v>
      </c>
      <c r="S23339">
        <v>0</v>
      </c>
    </row>
    <row r="23340" spans="1:19" x14ac:dyDescent="0.3">
      <c r="A23340" t="str">
        <f t="shared" si="28"/>
        <v>LESTIP CombinedDec-24</v>
      </c>
      <c r="B23340" s="171" t="s">
        <v>46257</v>
      </c>
      <c r="C23340" s="171" t="s">
        <v>170</v>
      </c>
      <c r="D23340" s="171" t="s">
        <v>4</v>
      </c>
      <c r="E23340" s="11">
        <v>45627</v>
      </c>
      <c r="F23340">
        <v>2.5</v>
      </c>
      <c r="G23340">
        <v>2.5</v>
      </c>
      <c r="I23340">
        <v>11</v>
      </c>
      <c r="J23340">
        <v>35</v>
      </c>
      <c r="L23340">
        <v>35</v>
      </c>
      <c r="N23340">
        <v>11</v>
      </c>
      <c r="P23340">
        <v>0</v>
      </c>
      <c r="Q23340">
        <v>0</v>
      </c>
      <c r="S23340">
        <v>0</v>
      </c>
    </row>
    <row r="23341" spans="1:19" x14ac:dyDescent="0.3">
      <c r="A23341" t="str">
        <f t="shared" si="28"/>
        <v>MBI HSTIP CombinedDec-24</v>
      </c>
      <c r="B23341" s="171" t="s">
        <v>46258</v>
      </c>
      <c r="C23341" s="171" t="s">
        <v>182</v>
      </c>
      <c r="D23341" s="171" t="s">
        <v>4</v>
      </c>
      <c r="E23341" s="11">
        <v>45627</v>
      </c>
      <c r="F23341">
        <v>7</v>
      </c>
      <c r="G23341">
        <v>9</v>
      </c>
      <c r="I23341">
        <v>40</v>
      </c>
      <c r="J23341">
        <v>80</v>
      </c>
      <c r="L23341">
        <v>102</v>
      </c>
      <c r="N23341">
        <v>40</v>
      </c>
      <c r="P23341">
        <v>2</v>
      </c>
      <c r="Q23341">
        <v>2</v>
      </c>
      <c r="S23341">
        <v>0</v>
      </c>
    </row>
    <row r="23342" spans="1:19" x14ac:dyDescent="0.3">
      <c r="A23342" t="str">
        <f t="shared" si="28"/>
        <v>PASSTIP CombinedDec-24</v>
      </c>
      <c r="B23342" s="171" t="s">
        <v>46259</v>
      </c>
      <c r="C23342" s="171" t="s">
        <v>197</v>
      </c>
      <c r="D23342" s="171" t="s">
        <v>4</v>
      </c>
      <c r="E23342" s="11">
        <v>45627</v>
      </c>
      <c r="F23342">
        <v>7.5</v>
      </c>
      <c r="G23342">
        <v>8</v>
      </c>
      <c r="I23342">
        <v>77</v>
      </c>
      <c r="J23342">
        <v>75</v>
      </c>
      <c r="L23342">
        <v>80</v>
      </c>
      <c r="N23342">
        <v>46</v>
      </c>
      <c r="P23342">
        <v>9</v>
      </c>
      <c r="Q23342">
        <v>11</v>
      </c>
      <c r="S23342">
        <v>31</v>
      </c>
    </row>
    <row r="23343" spans="1:19" x14ac:dyDescent="0.3">
      <c r="A23343" t="str">
        <f t="shared" si="28"/>
        <v>TFCCTIP CombinedDec-24</v>
      </c>
      <c r="B23343" s="171" t="s">
        <v>46260</v>
      </c>
      <c r="C23343" s="171" t="s">
        <v>218</v>
      </c>
      <c r="D23343" s="171" t="s">
        <v>4</v>
      </c>
      <c r="E23343" s="11">
        <v>45627</v>
      </c>
      <c r="F23343">
        <v>0</v>
      </c>
      <c r="G23343">
        <v>0</v>
      </c>
      <c r="I23343">
        <v>0</v>
      </c>
      <c r="J23343">
        <v>0</v>
      </c>
      <c r="L23343">
        <v>0</v>
      </c>
      <c r="N23343">
        <v>0</v>
      </c>
      <c r="P23343">
        <v>0</v>
      </c>
      <c r="Q23343">
        <v>0</v>
      </c>
      <c r="S23343">
        <v>0</v>
      </c>
    </row>
    <row r="23344" spans="1:19" x14ac:dyDescent="0.3">
      <c r="A23344" t="str">
        <f t="shared" si="28"/>
        <v>UmbrellaTIP CombinedDec-24</v>
      </c>
      <c r="B23344" s="171" t="s">
        <v>46261</v>
      </c>
      <c r="C23344" s="171" t="s">
        <v>34871</v>
      </c>
      <c r="D23344" s="171" t="s">
        <v>4</v>
      </c>
      <c r="E23344" s="11">
        <v>45627</v>
      </c>
      <c r="F23344">
        <v>6</v>
      </c>
      <c r="G23344">
        <v>6</v>
      </c>
      <c r="I23344">
        <v>33</v>
      </c>
      <c r="J23344">
        <v>66</v>
      </c>
      <c r="L23344">
        <v>66</v>
      </c>
      <c r="N23344">
        <v>33</v>
      </c>
      <c r="P23344">
        <v>0</v>
      </c>
      <c r="Q23344">
        <v>0</v>
      </c>
      <c r="S23344">
        <v>0</v>
      </c>
    </row>
    <row r="23345" spans="1:19" x14ac:dyDescent="0.3">
      <c r="A23345" t="str">
        <f t="shared" si="28"/>
        <v>UniversalTIP CombinedDec-24</v>
      </c>
      <c r="B23345" s="171" t="s">
        <v>46262</v>
      </c>
      <c r="C23345" s="171" t="s">
        <v>230</v>
      </c>
      <c r="D23345" s="171" t="s">
        <v>4</v>
      </c>
      <c r="E23345" s="11">
        <v>45627</v>
      </c>
      <c r="F23345">
        <v>0</v>
      </c>
      <c r="G23345">
        <v>0</v>
      </c>
      <c r="I23345">
        <v>0</v>
      </c>
      <c r="J23345">
        <v>0</v>
      </c>
      <c r="L23345">
        <v>0</v>
      </c>
      <c r="N23345">
        <v>0</v>
      </c>
      <c r="P23345">
        <v>0</v>
      </c>
      <c r="Q23345">
        <v>0</v>
      </c>
      <c r="S23345">
        <v>0</v>
      </c>
    </row>
    <row r="23346" spans="1:19" x14ac:dyDescent="0.3">
      <c r="A23346" t="str">
        <f t="shared" si="28"/>
        <v>Wayne PlaceTIP CombinedDec-24</v>
      </c>
      <c r="B23346" s="171" t="s">
        <v>46263</v>
      </c>
      <c r="C23346" s="171" t="s">
        <v>8193</v>
      </c>
      <c r="D23346" s="171" t="s">
        <v>4</v>
      </c>
      <c r="E23346" s="11">
        <v>45627</v>
      </c>
      <c r="F23346">
        <v>2</v>
      </c>
      <c r="G23346">
        <v>3</v>
      </c>
      <c r="I23346">
        <v>7</v>
      </c>
      <c r="J23346">
        <v>22</v>
      </c>
      <c r="L23346">
        <v>33</v>
      </c>
      <c r="N23346">
        <v>7</v>
      </c>
      <c r="P23346">
        <v>0</v>
      </c>
      <c r="Q23346">
        <v>1</v>
      </c>
      <c r="S23346">
        <v>0</v>
      </c>
    </row>
    <row r="23347" spans="1:19" x14ac:dyDescent="0.3">
      <c r="A23347" t="str">
        <f t="shared" si="28"/>
        <v>Adoptions TogetherTST CombinedDec-24</v>
      </c>
      <c r="B23347" s="171" t="s">
        <v>46264</v>
      </c>
      <c r="C23347" s="171" t="s">
        <v>10522</v>
      </c>
      <c r="D23347" s="171" t="s">
        <v>4</v>
      </c>
      <c r="E23347" s="11">
        <v>45627</v>
      </c>
      <c r="F23347">
        <v>0</v>
      </c>
      <c r="G23347">
        <v>0</v>
      </c>
      <c r="I23347">
        <v>0</v>
      </c>
      <c r="J23347">
        <v>0</v>
      </c>
      <c r="L23347">
        <v>0</v>
      </c>
      <c r="N23347">
        <v>0</v>
      </c>
      <c r="P23347">
        <v>0</v>
      </c>
      <c r="Q23347">
        <v>0</v>
      </c>
      <c r="S23347">
        <v>0</v>
      </c>
    </row>
    <row r="23348" spans="1:19" x14ac:dyDescent="0.3">
      <c r="A23348" t="str">
        <f t="shared" si="28"/>
        <v>ContemporaryTST CombinedDec-24</v>
      </c>
      <c r="B23348" s="171" t="s">
        <v>46265</v>
      </c>
      <c r="C23348" s="171" t="s">
        <v>10525</v>
      </c>
      <c r="D23348" s="171" t="s">
        <v>4</v>
      </c>
      <c r="E23348" s="11">
        <v>45627</v>
      </c>
      <c r="F23348">
        <v>0</v>
      </c>
      <c r="G23348">
        <v>0</v>
      </c>
      <c r="I23348">
        <v>0</v>
      </c>
      <c r="J23348">
        <v>0</v>
      </c>
      <c r="L23348">
        <v>0</v>
      </c>
      <c r="N23348">
        <v>0</v>
      </c>
      <c r="P23348">
        <v>0</v>
      </c>
      <c r="Q23348">
        <v>0</v>
      </c>
      <c r="S23348">
        <v>0</v>
      </c>
    </row>
    <row r="23349" spans="1:19" x14ac:dyDescent="0.3">
      <c r="A23349" t="str">
        <f t="shared" si="28"/>
        <v>Family MattersTST CombinedDec-24</v>
      </c>
      <c r="B23349" s="171" t="s">
        <v>46266</v>
      </c>
      <c r="C23349" s="171" t="s">
        <v>10528</v>
      </c>
      <c r="D23349" s="171" t="s">
        <v>4</v>
      </c>
      <c r="E23349" s="11">
        <v>45627</v>
      </c>
      <c r="F23349">
        <v>0</v>
      </c>
      <c r="G23349">
        <v>0</v>
      </c>
      <c r="I23349">
        <v>0</v>
      </c>
      <c r="J23349">
        <v>0</v>
      </c>
      <c r="L23349">
        <v>0</v>
      </c>
      <c r="N23349">
        <v>0</v>
      </c>
      <c r="P23349">
        <v>0</v>
      </c>
      <c r="Q23349">
        <v>0</v>
      </c>
      <c r="S23349">
        <v>0</v>
      </c>
    </row>
    <row r="23350" spans="1:19" x14ac:dyDescent="0.3">
      <c r="A23350" t="str">
        <f t="shared" si="28"/>
        <v>First Home CareTST CombinedDec-24</v>
      </c>
      <c r="B23350" s="171" t="s">
        <v>46267</v>
      </c>
      <c r="C23350" s="171" t="s">
        <v>10531</v>
      </c>
      <c r="D23350" s="171" t="s">
        <v>4</v>
      </c>
      <c r="E23350" s="11">
        <v>45627</v>
      </c>
      <c r="F23350">
        <v>0</v>
      </c>
      <c r="G23350">
        <v>0</v>
      </c>
      <c r="I23350">
        <v>0</v>
      </c>
      <c r="J23350">
        <v>0</v>
      </c>
      <c r="L23350">
        <v>0</v>
      </c>
      <c r="N23350">
        <v>0</v>
      </c>
      <c r="P23350">
        <v>0</v>
      </c>
      <c r="Q23350">
        <v>0</v>
      </c>
      <c r="S23350">
        <v>0</v>
      </c>
    </row>
    <row r="23351" spans="1:19" x14ac:dyDescent="0.3">
      <c r="A23351" t="str">
        <f t="shared" si="28"/>
        <v>Foundations for Home &amp; CommunityTST CombinedDec-24</v>
      </c>
      <c r="B23351" s="171" t="s">
        <v>46268</v>
      </c>
      <c r="C23351" s="171" t="s">
        <v>14880</v>
      </c>
      <c r="D23351" s="171" t="s">
        <v>4</v>
      </c>
      <c r="E23351" s="11">
        <v>45627</v>
      </c>
      <c r="F23351">
        <v>0</v>
      </c>
      <c r="G23351">
        <v>0</v>
      </c>
      <c r="I23351">
        <v>0</v>
      </c>
      <c r="J23351">
        <v>0</v>
      </c>
      <c r="L23351">
        <v>0</v>
      </c>
      <c r="N23351">
        <v>0</v>
      </c>
      <c r="P23351">
        <v>0</v>
      </c>
      <c r="Q23351">
        <v>0</v>
      </c>
      <c r="S23351">
        <v>0</v>
      </c>
    </row>
    <row r="23352" spans="1:19" x14ac:dyDescent="0.3">
      <c r="A23352" t="str">
        <f t="shared" si="28"/>
        <v>HillcrestTST CombinedDec-24</v>
      </c>
      <c r="B23352" s="171" t="s">
        <v>46269</v>
      </c>
      <c r="C23352" s="171" t="s">
        <v>10534</v>
      </c>
      <c r="D23352" s="171" t="s">
        <v>4</v>
      </c>
      <c r="E23352" s="11">
        <v>45627</v>
      </c>
      <c r="F23352">
        <v>0.5</v>
      </c>
      <c r="G23352">
        <v>1.5</v>
      </c>
      <c r="I23352">
        <v>4</v>
      </c>
      <c r="J23352">
        <v>2</v>
      </c>
      <c r="L23352">
        <v>8</v>
      </c>
      <c r="N23352">
        <v>4</v>
      </c>
      <c r="P23352">
        <v>0</v>
      </c>
      <c r="Q23352">
        <v>0</v>
      </c>
      <c r="S23352">
        <v>0</v>
      </c>
    </row>
    <row r="23353" spans="1:19" x14ac:dyDescent="0.3">
      <c r="A23353" t="str">
        <f t="shared" si="28"/>
        <v>MD Family ResourcesTST CombinedDec-24</v>
      </c>
      <c r="B23353" s="171" t="s">
        <v>46270</v>
      </c>
      <c r="C23353" s="171" t="s">
        <v>10537</v>
      </c>
      <c r="D23353" s="171" t="s">
        <v>4</v>
      </c>
      <c r="E23353" s="11">
        <v>45627</v>
      </c>
      <c r="F23353">
        <v>0</v>
      </c>
      <c r="G23353">
        <v>1</v>
      </c>
      <c r="I23353">
        <v>0</v>
      </c>
      <c r="J23353">
        <v>0</v>
      </c>
      <c r="L23353">
        <v>6</v>
      </c>
      <c r="N23353">
        <v>0</v>
      </c>
      <c r="P23353">
        <v>0</v>
      </c>
      <c r="Q23353">
        <v>0</v>
      </c>
      <c r="S23353">
        <v>0</v>
      </c>
    </row>
    <row r="23354" spans="1:19" x14ac:dyDescent="0.3">
      <c r="A23354" t="str">
        <f t="shared" si="28"/>
        <v>Marys CenterCPP-FV CombinedDec-24</v>
      </c>
      <c r="B23354" s="171" t="s">
        <v>46271</v>
      </c>
      <c r="C23354" s="171" t="s">
        <v>15347</v>
      </c>
      <c r="D23354" s="171" t="s">
        <v>4</v>
      </c>
      <c r="E23354" s="11">
        <v>45627</v>
      </c>
      <c r="F23354">
        <v>1.5</v>
      </c>
      <c r="G23354">
        <v>2.5</v>
      </c>
      <c r="I23354">
        <v>7</v>
      </c>
      <c r="J23354">
        <v>9</v>
      </c>
      <c r="L23354">
        <v>15</v>
      </c>
      <c r="N23354">
        <v>6</v>
      </c>
      <c r="P23354">
        <v>0</v>
      </c>
      <c r="Q23354">
        <v>0</v>
      </c>
      <c r="S23354">
        <v>1</v>
      </c>
    </row>
    <row r="23355" spans="1:19" x14ac:dyDescent="0.3">
      <c r="A23355" t="str">
        <f t="shared" ref="A23355:A23418" si="29">C23355&amp;" "&amp;D23355&amp;"Dec-24"</f>
        <v>PIECECPP-FV CombinedDec-24</v>
      </c>
      <c r="B23355" s="171" t="s">
        <v>46272</v>
      </c>
      <c r="C23355" s="171" t="s">
        <v>203</v>
      </c>
      <c r="D23355" s="171" t="s">
        <v>4</v>
      </c>
      <c r="E23355" s="11">
        <v>45627</v>
      </c>
      <c r="F23355">
        <v>3</v>
      </c>
      <c r="G23355">
        <v>2.5</v>
      </c>
      <c r="I23355">
        <v>4</v>
      </c>
      <c r="J23355">
        <v>15</v>
      </c>
      <c r="L23355">
        <v>13</v>
      </c>
      <c r="N23355">
        <v>4</v>
      </c>
      <c r="P23355">
        <v>0</v>
      </c>
      <c r="Q23355">
        <v>0</v>
      </c>
      <c r="S23355">
        <v>0</v>
      </c>
    </row>
    <row r="23356" spans="1:19" x14ac:dyDescent="0.3">
      <c r="A23356" t="str">
        <f t="shared" si="29"/>
        <v>Community ConnectionsCPP-FV CombinedDec-24</v>
      </c>
      <c r="B23356" s="171" t="s">
        <v>46273</v>
      </c>
      <c r="C23356" s="171" t="s">
        <v>15340</v>
      </c>
      <c r="D23356" s="171" t="s">
        <v>4</v>
      </c>
      <c r="E23356" s="11">
        <v>45627</v>
      </c>
      <c r="F23356">
        <v>0</v>
      </c>
      <c r="G23356">
        <v>0</v>
      </c>
      <c r="I23356">
        <v>0</v>
      </c>
      <c r="J23356">
        <v>0</v>
      </c>
      <c r="L23356">
        <v>0</v>
      </c>
      <c r="N23356">
        <v>0</v>
      </c>
      <c r="P23356">
        <v>0</v>
      </c>
      <c r="Q23356">
        <v>0</v>
      </c>
      <c r="S23356">
        <v>0</v>
      </c>
    </row>
    <row r="23357" spans="1:19" x14ac:dyDescent="0.3">
      <c r="A23357" t="str">
        <f t="shared" si="29"/>
        <v>Community ConnectionsPCIT CombinedDec-24</v>
      </c>
      <c r="B23357" s="171" t="s">
        <v>46274</v>
      </c>
      <c r="C23357" s="171" t="s">
        <v>16544</v>
      </c>
      <c r="D23357" s="171" t="s">
        <v>4</v>
      </c>
      <c r="E23357" s="11">
        <v>45627</v>
      </c>
      <c r="F23357">
        <v>0</v>
      </c>
      <c r="G23357">
        <v>0</v>
      </c>
      <c r="I23357">
        <v>0</v>
      </c>
      <c r="J23357">
        <v>0</v>
      </c>
      <c r="L23357">
        <v>0</v>
      </c>
      <c r="N23357">
        <v>0</v>
      </c>
      <c r="P23357">
        <v>0</v>
      </c>
      <c r="Q23357">
        <v>0</v>
      </c>
      <c r="S23357">
        <v>0</v>
      </c>
    </row>
    <row r="23358" spans="1:19" x14ac:dyDescent="0.3">
      <c r="A23358" t="str">
        <f t="shared" si="29"/>
        <v>Marys CenterPCIT CombinedDec-24</v>
      </c>
      <c r="B23358" s="171" t="s">
        <v>46275</v>
      </c>
      <c r="C23358" s="171" t="s">
        <v>176</v>
      </c>
      <c r="D23358" s="171" t="s">
        <v>4</v>
      </c>
      <c r="E23358" s="11">
        <v>45627</v>
      </c>
      <c r="F23358">
        <v>2</v>
      </c>
      <c r="G23358">
        <v>2</v>
      </c>
      <c r="I23358">
        <v>1</v>
      </c>
      <c r="J23358">
        <v>11</v>
      </c>
      <c r="L23358">
        <v>11</v>
      </c>
      <c r="N23358">
        <v>1</v>
      </c>
      <c r="P23358">
        <v>0</v>
      </c>
      <c r="Q23358">
        <v>0</v>
      </c>
      <c r="S23358">
        <v>0</v>
      </c>
    </row>
    <row r="23359" spans="1:19" x14ac:dyDescent="0.3">
      <c r="A23359" t="str">
        <f t="shared" si="29"/>
        <v>PIECEPCIT CombinedDec-24</v>
      </c>
      <c r="B23359" s="171" t="s">
        <v>46276</v>
      </c>
      <c r="C23359" s="171" t="s">
        <v>206</v>
      </c>
      <c r="D23359" s="171" t="s">
        <v>4</v>
      </c>
      <c r="E23359" s="11">
        <v>45627</v>
      </c>
      <c r="F23359">
        <v>1.5</v>
      </c>
      <c r="G23359">
        <v>1.5</v>
      </c>
      <c r="I23359">
        <v>1</v>
      </c>
      <c r="J23359">
        <v>7</v>
      </c>
      <c r="L23359">
        <v>7</v>
      </c>
      <c r="N23359">
        <v>1</v>
      </c>
      <c r="P23359">
        <v>1</v>
      </c>
      <c r="Q23359">
        <v>1</v>
      </c>
      <c r="S23359">
        <v>0</v>
      </c>
    </row>
    <row r="23360" spans="1:19" x14ac:dyDescent="0.3">
      <c r="A23360" t="str">
        <f t="shared" si="29"/>
        <v>Better MorningsFFT FFDec-24</v>
      </c>
      <c r="B23360" s="171" t="s">
        <v>46162</v>
      </c>
      <c r="C23360" s="171" t="s">
        <v>24284</v>
      </c>
      <c r="D23360" s="171" t="s">
        <v>80</v>
      </c>
      <c r="E23360" s="11">
        <v>45627</v>
      </c>
      <c r="F23360">
        <v>7</v>
      </c>
      <c r="G23360">
        <v>7</v>
      </c>
      <c r="I23360">
        <v>23</v>
      </c>
      <c r="J23360">
        <v>33</v>
      </c>
      <c r="L23360">
        <v>33</v>
      </c>
      <c r="N23360">
        <v>13</v>
      </c>
      <c r="P23360">
        <v>0</v>
      </c>
      <c r="Q23360">
        <v>0</v>
      </c>
      <c r="S23360">
        <v>10</v>
      </c>
    </row>
    <row r="23361" spans="1:19" x14ac:dyDescent="0.3">
      <c r="A23361" t="str">
        <f t="shared" si="29"/>
        <v>CatholicAll FFDec-24</v>
      </c>
      <c r="B23361" s="171" t="s">
        <v>46277</v>
      </c>
      <c r="C23361" s="171" t="s">
        <v>18229</v>
      </c>
      <c r="D23361" s="171" t="s">
        <v>80</v>
      </c>
      <c r="E23361" s="11">
        <v>45627</v>
      </c>
      <c r="F23361">
        <v>0</v>
      </c>
      <c r="G23361">
        <v>0</v>
      </c>
      <c r="I23361">
        <v>0</v>
      </c>
      <c r="J23361">
        <v>0</v>
      </c>
      <c r="L23361">
        <v>0</v>
      </c>
      <c r="N23361">
        <v>0</v>
      </c>
      <c r="P23361">
        <v>0</v>
      </c>
      <c r="Q23361">
        <v>0</v>
      </c>
      <c r="S23361">
        <v>0</v>
      </c>
    </row>
    <row r="23362" spans="1:19" x14ac:dyDescent="0.3">
      <c r="A23362" t="str">
        <f t="shared" si="29"/>
        <v>ContemporaryAll FFDec-24</v>
      </c>
      <c r="B23362" s="171" t="s">
        <v>46278</v>
      </c>
      <c r="C23362" s="171" t="s">
        <v>9887</v>
      </c>
      <c r="D23362" s="171" t="s">
        <v>80</v>
      </c>
      <c r="E23362" s="11">
        <v>45627</v>
      </c>
      <c r="F23362">
        <v>0</v>
      </c>
      <c r="G23362">
        <v>0</v>
      </c>
      <c r="I23362">
        <v>0</v>
      </c>
      <c r="J23362">
        <v>0</v>
      </c>
      <c r="L23362">
        <v>0</v>
      </c>
      <c r="N23362">
        <v>0</v>
      </c>
      <c r="P23362">
        <v>0</v>
      </c>
      <c r="Q23362">
        <v>0</v>
      </c>
      <c r="S23362">
        <v>0</v>
      </c>
    </row>
    <row r="23363" spans="1:19" x14ac:dyDescent="0.3">
      <c r="A23363" t="str">
        <f t="shared" si="29"/>
        <v>DBH Parent SupportAll FFDec-24</v>
      </c>
      <c r="B23363" s="171" t="s">
        <v>46279</v>
      </c>
      <c r="C23363" s="171" t="s">
        <v>35010</v>
      </c>
      <c r="D23363" s="171" t="s">
        <v>80</v>
      </c>
      <c r="E23363" s="11">
        <v>45627</v>
      </c>
      <c r="F23363">
        <v>0</v>
      </c>
      <c r="G23363">
        <v>0</v>
      </c>
      <c r="I23363">
        <v>0</v>
      </c>
      <c r="J23363">
        <v>0</v>
      </c>
      <c r="L23363">
        <v>0</v>
      </c>
      <c r="N23363">
        <v>0</v>
      </c>
      <c r="P23363">
        <v>0</v>
      </c>
      <c r="Q23363">
        <v>0</v>
      </c>
      <c r="S23363">
        <v>0</v>
      </c>
    </row>
    <row r="23364" spans="1:19" x14ac:dyDescent="0.3">
      <c r="A23364" t="str">
        <f t="shared" si="29"/>
        <v>Family MattersAll FFDec-24</v>
      </c>
      <c r="B23364" s="171" t="s">
        <v>46280</v>
      </c>
      <c r="C23364" s="171" t="s">
        <v>11260</v>
      </c>
      <c r="D23364" s="171" t="s">
        <v>80</v>
      </c>
      <c r="E23364" s="11">
        <v>45627</v>
      </c>
      <c r="F23364">
        <v>0</v>
      </c>
      <c r="G23364">
        <v>0</v>
      </c>
      <c r="I23364">
        <v>0</v>
      </c>
      <c r="J23364">
        <v>0</v>
      </c>
      <c r="L23364">
        <v>0</v>
      </c>
      <c r="N23364">
        <v>0</v>
      </c>
      <c r="P23364">
        <v>0</v>
      </c>
      <c r="Q23364">
        <v>0</v>
      </c>
      <c r="S23364">
        <v>0</v>
      </c>
    </row>
    <row r="23365" spans="1:19" x14ac:dyDescent="0.3">
      <c r="A23365" t="str">
        <f t="shared" si="29"/>
        <v>Federal City All FFDec-24</v>
      </c>
      <c r="B23365" s="171" t="s">
        <v>46281</v>
      </c>
      <c r="C23365" s="171" t="s">
        <v>21284</v>
      </c>
      <c r="D23365" s="171" t="s">
        <v>80</v>
      </c>
      <c r="E23365" s="11">
        <v>45627</v>
      </c>
      <c r="F23365">
        <v>0</v>
      </c>
      <c r="G23365">
        <v>0</v>
      </c>
      <c r="I23365">
        <v>0</v>
      </c>
      <c r="J23365">
        <v>0</v>
      </c>
      <c r="L23365">
        <v>0</v>
      </c>
      <c r="N23365">
        <v>0</v>
      </c>
      <c r="P23365">
        <v>0</v>
      </c>
      <c r="Q23365">
        <v>0</v>
      </c>
      <c r="S23365">
        <v>0</v>
      </c>
    </row>
    <row r="23366" spans="1:19" x14ac:dyDescent="0.3">
      <c r="A23366" t="str">
        <f t="shared" si="29"/>
        <v>First Home CareAll FFDec-24</v>
      </c>
      <c r="B23366" s="171" t="s">
        <v>46282</v>
      </c>
      <c r="C23366" s="171" t="s">
        <v>125</v>
      </c>
      <c r="D23366" s="171" t="s">
        <v>80</v>
      </c>
      <c r="E23366" s="11">
        <v>45627</v>
      </c>
      <c r="F23366">
        <v>0</v>
      </c>
      <c r="G23366">
        <v>0</v>
      </c>
      <c r="I23366">
        <v>0</v>
      </c>
      <c r="J23366">
        <v>0</v>
      </c>
      <c r="L23366">
        <v>0</v>
      </c>
      <c r="N23366">
        <v>0</v>
      </c>
      <c r="P23366">
        <v>0</v>
      </c>
      <c r="Q23366">
        <v>0</v>
      </c>
      <c r="S23366">
        <v>0</v>
      </c>
    </row>
    <row r="23367" spans="1:19" x14ac:dyDescent="0.3">
      <c r="A23367" t="str">
        <f t="shared" si="29"/>
        <v>Foundations for Home &amp; CommunityAll FFDec-24</v>
      </c>
      <c r="B23367" s="171" t="s">
        <v>46283</v>
      </c>
      <c r="C23367" s="171" t="s">
        <v>14899</v>
      </c>
      <c r="D23367" s="171" t="s">
        <v>80</v>
      </c>
      <c r="E23367" s="11">
        <v>45627</v>
      </c>
      <c r="F23367">
        <v>0</v>
      </c>
      <c r="G23367">
        <v>0</v>
      </c>
      <c r="I23367">
        <v>0</v>
      </c>
      <c r="J23367">
        <v>0</v>
      </c>
      <c r="L23367">
        <v>0</v>
      </c>
      <c r="N23367">
        <v>0</v>
      </c>
      <c r="P23367">
        <v>0</v>
      </c>
      <c r="Q23367">
        <v>0</v>
      </c>
      <c r="S23367">
        <v>0</v>
      </c>
    </row>
    <row r="23368" spans="1:19" x14ac:dyDescent="0.3">
      <c r="A23368" t="str">
        <f t="shared" si="29"/>
        <v>FPSAll FFDec-24</v>
      </c>
      <c r="B23368" s="171" t="s">
        <v>46284</v>
      </c>
      <c r="C23368" s="171" t="s">
        <v>137</v>
      </c>
      <c r="D23368" s="171" t="s">
        <v>80</v>
      </c>
      <c r="E23368" s="11">
        <v>45627</v>
      </c>
      <c r="F23368">
        <v>0</v>
      </c>
      <c r="G23368">
        <v>0</v>
      </c>
      <c r="I23368">
        <v>0</v>
      </c>
      <c r="J23368">
        <v>0</v>
      </c>
      <c r="L23368">
        <v>0</v>
      </c>
      <c r="N23368">
        <v>0</v>
      </c>
      <c r="P23368">
        <v>0</v>
      </c>
      <c r="Q23368">
        <v>0</v>
      </c>
      <c r="S23368">
        <v>0</v>
      </c>
    </row>
    <row r="23369" spans="1:19" x14ac:dyDescent="0.3">
      <c r="A23369" t="str">
        <f t="shared" si="29"/>
        <v>Green DoorAll FFDec-24</v>
      </c>
      <c r="B23369" s="171" t="s">
        <v>46285</v>
      </c>
      <c r="C23369" s="171" t="s">
        <v>8615</v>
      </c>
      <c r="D23369" s="171" t="s">
        <v>80</v>
      </c>
      <c r="E23369" s="11">
        <v>45627</v>
      </c>
      <c r="F23369">
        <v>0</v>
      </c>
      <c r="G23369">
        <v>0</v>
      </c>
      <c r="I23369">
        <v>0</v>
      </c>
      <c r="J23369">
        <v>0</v>
      </c>
      <c r="L23369">
        <v>0</v>
      </c>
      <c r="N23369">
        <v>0</v>
      </c>
      <c r="P23369">
        <v>0</v>
      </c>
      <c r="Q23369">
        <v>0</v>
      </c>
      <c r="S23369">
        <v>0</v>
      </c>
    </row>
    <row r="23370" spans="1:19" x14ac:dyDescent="0.3">
      <c r="A23370" t="str">
        <f t="shared" si="29"/>
        <v>Healthy FuturesAll FFDec-24</v>
      </c>
      <c r="B23370" s="171" t="s">
        <v>46286</v>
      </c>
      <c r="C23370" s="171" t="s">
        <v>35025</v>
      </c>
      <c r="D23370" s="171" t="s">
        <v>80</v>
      </c>
      <c r="E23370" s="11">
        <v>45627</v>
      </c>
      <c r="F23370">
        <v>0</v>
      </c>
      <c r="G23370">
        <v>0</v>
      </c>
      <c r="I23370">
        <v>0</v>
      </c>
      <c r="J23370">
        <v>0</v>
      </c>
      <c r="L23370">
        <v>0</v>
      </c>
      <c r="N23370">
        <v>0</v>
      </c>
      <c r="P23370">
        <v>0</v>
      </c>
      <c r="Q23370">
        <v>0</v>
      </c>
      <c r="S23370">
        <v>0</v>
      </c>
    </row>
    <row r="23371" spans="1:19" x14ac:dyDescent="0.3">
      <c r="A23371" t="str">
        <f t="shared" si="29"/>
        <v>HillcrestAll FFDec-24</v>
      </c>
      <c r="B23371" s="171" t="s">
        <v>46287</v>
      </c>
      <c r="C23371" s="171" t="s">
        <v>146</v>
      </c>
      <c r="D23371" s="171" t="s">
        <v>80</v>
      </c>
      <c r="E23371" s="11">
        <v>45627</v>
      </c>
      <c r="F23371">
        <v>7.5</v>
      </c>
      <c r="G23371">
        <v>11.5</v>
      </c>
      <c r="I23371">
        <v>35</v>
      </c>
      <c r="J23371">
        <v>37</v>
      </c>
      <c r="L23371">
        <v>55</v>
      </c>
      <c r="N23371">
        <v>33</v>
      </c>
      <c r="P23371">
        <v>0</v>
      </c>
      <c r="Q23371">
        <v>0</v>
      </c>
      <c r="S23371">
        <v>2</v>
      </c>
    </row>
    <row r="23372" spans="1:19" x14ac:dyDescent="0.3">
      <c r="A23372" t="str">
        <f t="shared" si="29"/>
        <v>LAYCAll FFDec-24</v>
      </c>
      <c r="B23372" s="171" t="s">
        <v>46288</v>
      </c>
      <c r="C23372" s="171" t="s">
        <v>161</v>
      </c>
      <c r="D23372" s="171" t="s">
        <v>80</v>
      </c>
      <c r="E23372" s="11">
        <v>45627</v>
      </c>
      <c r="F23372">
        <v>2.5</v>
      </c>
      <c r="G23372">
        <v>3.5</v>
      </c>
      <c r="I23372">
        <v>9</v>
      </c>
      <c r="J23372">
        <v>15</v>
      </c>
      <c r="L23372">
        <v>21</v>
      </c>
      <c r="N23372">
        <v>8</v>
      </c>
      <c r="P23372">
        <v>0</v>
      </c>
      <c r="Q23372">
        <v>0</v>
      </c>
      <c r="S23372">
        <v>1</v>
      </c>
    </row>
    <row r="23373" spans="1:19" x14ac:dyDescent="0.3">
      <c r="A23373" t="str">
        <f t="shared" si="29"/>
        <v>LCSAll FFDec-24</v>
      </c>
      <c r="B23373" s="171" t="s">
        <v>46289</v>
      </c>
      <c r="C23373" s="171" t="s">
        <v>18252</v>
      </c>
      <c r="D23373" s="171" t="s">
        <v>80</v>
      </c>
      <c r="E23373" s="11">
        <v>45627</v>
      </c>
      <c r="F23373">
        <v>0</v>
      </c>
      <c r="G23373">
        <v>0</v>
      </c>
      <c r="I23373">
        <v>0</v>
      </c>
      <c r="J23373">
        <v>0</v>
      </c>
      <c r="L23373">
        <v>0</v>
      </c>
      <c r="N23373">
        <v>0</v>
      </c>
      <c r="P23373">
        <v>0</v>
      </c>
      <c r="Q23373">
        <v>0</v>
      </c>
      <c r="S23373">
        <v>0</v>
      </c>
    </row>
    <row r="23374" spans="1:19" x14ac:dyDescent="0.3">
      <c r="A23374" t="str">
        <f t="shared" si="29"/>
        <v>LESAll FFDec-24</v>
      </c>
      <c r="B23374" s="171" t="s">
        <v>46290</v>
      </c>
      <c r="C23374" s="171" t="s">
        <v>167</v>
      </c>
      <c r="D23374" s="171" t="s">
        <v>80</v>
      </c>
      <c r="E23374" s="11">
        <v>45627</v>
      </c>
      <c r="F23374">
        <v>2.5</v>
      </c>
      <c r="G23374">
        <v>2.5</v>
      </c>
      <c r="I23374">
        <v>11</v>
      </c>
      <c r="J23374">
        <v>35</v>
      </c>
      <c r="L23374">
        <v>35</v>
      </c>
      <c r="N23374">
        <v>11</v>
      </c>
      <c r="P23374">
        <v>0</v>
      </c>
      <c r="Q23374">
        <v>0</v>
      </c>
      <c r="S23374">
        <v>0</v>
      </c>
    </row>
    <row r="23375" spans="1:19" x14ac:dyDescent="0.3">
      <c r="A23375" t="str">
        <f t="shared" si="29"/>
        <v>MBI HSAll FFDec-24</v>
      </c>
      <c r="B23375" s="171" t="s">
        <v>46291</v>
      </c>
      <c r="C23375" s="171" t="s">
        <v>179</v>
      </c>
      <c r="D23375" s="171" t="s">
        <v>80</v>
      </c>
      <c r="E23375" s="11">
        <v>45627</v>
      </c>
      <c r="F23375">
        <v>10</v>
      </c>
      <c r="G23375">
        <v>15</v>
      </c>
      <c r="I23375">
        <v>51</v>
      </c>
      <c r="J23375">
        <v>93</v>
      </c>
      <c r="L23375">
        <v>130</v>
      </c>
      <c r="N23375">
        <v>49</v>
      </c>
      <c r="P23375">
        <v>0</v>
      </c>
      <c r="Q23375">
        <v>0</v>
      </c>
      <c r="S23375">
        <v>2</v>
      </c>
    </row>
    <row r="23376" spans="1:19" x14ac:dyDescent="0.3">
      <c r="A23376" t="str">
        <f t="shared" si="29"/>
        <v>MD Family ResourcesAll FFDec-24</v>
      </c>
      <c r="B23376" s="171" t="s">
        <v>46292</v>
      </c>
      <c r="C23376" s="171" t="s">
        <v>185</v>
      </c>
      <c r="D23376" s="171" t="s">
        <v>80</v>
      </c>
      <c r="E23376" s="11">
        <v>45627</v>
      </c>
      <c r="F23376">
        <v>1.5</v>
      </c>
      <c r="G23376">
        <v>8.5</v>
      </c>
      <c r="I23376">
        <v>4</v>
      </c>
      <c r="J23376">
        <v>8</v>
      </c>
      <c r="L23376">
        <v>42</v>
      </c>
      <c r="N23376">
        <v>4</v>
      </c>
      <c r="P23376">
        <v>0</v>
      </c>
      <c r="Q23376">
        <v>0</v>
      </c>
      <c r="S23376">
        <v>0</v>
      </c>
    </row>
    <row r="23377" spans="1:19" x14ac:dyDescent="0.3">
      <c r="A23377" t="str">
        <f t="shared" si="29"/>
        <v>PASSAll FFDec-24</v>
      </c>
      <c r="B23377" s="171" t="s">
        <v>46293</v>
      </c>
      <c r="C23377" s="171" t="s">
        <v>191</v>
      </c>
      <c r="D23377" s="171" t="s">
        <v>80</v>
      </c>
      <c r="E23377" s="11">
        <v>45627</v>
      </c>
      <c r="F23377">
        <v>9.5</v>
      </c>
      <c r="G23377">
        <v>13</v>
      </c>
      <c r="I23377">
        <v>89</v>
      </c>
      <c r="J23377">
        <v>87</v>
      </c>
      <c r="L23377">
        <v>107</v>
      </c>
      <c r="N23377">
        <v>57</v>
      </c>
      <c r="P23377">
        <v>0</v>
      </c>
      <c r="Q23377">
        <v>0</v>
      </c>
      <c r="S23377">
        <v>32</v>
      </c>
    </row>
    <row r="23378" spans="1:19" x14ac:dyDescent="0.3">
      <c r="A23378" t="str">
        <f t="shared" si="29"/>
        <v>RiversideAll FFDec-24</v>
      </c>
      <c r="B23378" s="171" t="s">
        <v>46294</v>
      </c>
      <c r="C23378" s="171" t="s">
        <v>212</v>
      </c>
      <c r="D23378" s="171" t="s">
        <v>80</v>
      </c>
      <c r="E23378" s="11">
        <v>45627</v>
      </c>
      <c r="F23378">
        <v>0</v>
      </c>
      <c r="G23378">
        <v>0</v>
      </c>
      <c r="I23378">
        <v>0</v>
      </c>
      <c r="J23378">
        <v>0</v>
      </c>
      <c r="L23378">
        <v>0</v>
      </c>
      <c r="N23378">
        <v>0</v>
      </c>
      <c r="P23378">
        <v>0</v>
      </c>
      <c r="Q23378">
        <v>0</v>
      </c>
      <c r="S23378">
        <v>0</v>
      </c>
    </row>
    <row r="23379" spans="1:19" x14ac:dyDescent="0.3">
      <c r="A23379" t="str">
        <f t="shared" si="29"/>
        <v>TFCCAll FFDec-24</v>
      </c>
      <c r="B23379" s="171" t="s">
        <v>46295</v>
      </c>
      <c r="C23379" s="171" t="s">
        <v>215</v>
      </c>
      <c r="D23379" s="171" t="s">
        <v>80</v>
      </c>
      <c r="E23379" s="11">
        <v>45627</v>
      </c>
      <c r="F23379">
        <v>0</v>
      </c>
      <c r="G23379">
        <v>0</v>
      </c>
      <c r="I23379">
        <v>0</v>
      </c>
      <c r="J23379">
        <v>0</v>
      </c>
      <c r="L23379">
        <v>0</v>
      </c>
      <c r="N23379">
        <v>0</v>
      </c>
      <c r="P23379">
        <v>0</v>
      </c>
      <c r="Q23379">
        <v>0</v>
      </c>
      <c r="S23379">
        <v>0</v>
      </c>
    </row>
    <row r="23380" spans="1:19" x14ac:dyDescent="0.3">
      <c r="A23380" t="str">
        <f t="shared" si="29"/>
        <v>UmbrellaAll FFDec-24</v>
      </c>
      <c r="B23380" s="171" t="s">
        <v>46296</v>
      </c>
      <c r="C23380" s="171" t="s">
        <v>35119</v>
      </c>
      <c r="D23380" s="171" t="s">
        <v>80</v>
      </c>
      <c r="E23380" s="11">
        <v>45627</v>
      </c>
      <c r="F23380">
        <v>8</v>
      </c>
      <c r="G23380">
        <v>8</v>
      </c>
      <c r="I23380">
        <v>34</v>
      </c>
      <c r="J23380">
        <v>74</v>
      </c>
      <c r="L23380">
        <v>74</v>
      </c>
      <c r="N23380">
        <v>34</v>
      </c>
      <c r="P23380">
        <v>0</v>
      </c>
      <c r="Q23380">
        <v>0</v>
      </c>
      <c r="S23380">
        <v>0</v>
      </c>
    </row>
    <row r="23381" spans="1:19" x14ac:dyDescent="0.3">
      <c r="A23381" t="str">
        <f t="shared" si="29"/>
        <v>UniversalAll FFDec-24</v>
      </c>
      <c r="B23381" s="171" t="s">
        <v>46297</v>
      </c>
      <c r="C23381" s="171" t="s">
        <v>221</v>
      </c>
      <c r="D23381" s="171" t="s">
        <v>80</v>
      </c>
      <c r="E23381" s="11">
        <v>45627</v>
      </c>
      <c r="F23381">
        <v>0</v>
      </c>
      <c r="G23381">
        <v>0</v>
      </c>
      <c r="I23381">
        <v>0</v>
      </c>
      <c r="J23381">
        <v>0</v>
      </c>
      <c r="L23381">
        <v>0</v>
      </c>
      <c r="N23381">
        <v>0</v>
      </c>
      <c r="P23381">
        <v>0</v>
      </c>
      <c r="Q23381">
        <v>0</v>
      </c>
      <c r="S23381">
        <v>0</v>
      </c>
    </row>
    <row r="23382" spans="1:19" x14ac:dyDescent="0.3">
      <c r="A23382" t="str">
        <f t="shared" si="29"/>
        <v>Wayne PlaceAll FFDec-24</v>
      </c>
      <c r="B23382" s="171" t="s">
        <v>46298</v>
      </c>
      <c r="C23382" s="171" t="s">
        <v>8233</v>
      </c>
      <c r="D23382" s="171" t="s">
        <v>80</v>
      </c>
      <c r="E23382" s="11">
        <v>45627</v>
      </c>
      <c r="F23382">
        <v>2</v>
      </c>
      <c r="G23382">
        <v>3</v>
      </c>
      <c r="I23382">
        <v>7</v>
      </c>
      <c r="J23382">
        <v>22</v>
      </c>
      <c r="L23382">
        <v>33</v>
      </c>
      <c r="N23382">
        <v>7</v>
      </c>
      <c r="P23382">
        <v>0</v>
      </c>
      <c r="Q23382">
        <v>0</v>
      </c>
      <c r="S23382">
        <v>0</v>
      </c>
    </row>
    <row r="23383" spans="1:19" x14ac:dyDescent="0.3">
      <c r="A23383" t="str">
        <f t="shared" si="29"/>
        <v>Youth VillagesAll FFDec-24</v>
      </c>
      <c r="B23383" s="171" t="s">
        <v>46299</v>
      </c>
      <c r="C23383" s="171" t="s">
        <v>233</v>
      </c>
      <c r="D23383" s="171" t="s">
        <v>80</v>
      </c>
      <c r="E23383" s="11">
        <v>45627</v>
      </c>
      <c r="F23383">
        <v>0</v>
      </c>
      <c r="G23383">
        <v>0</v>
      </c>
      <c r="I23383">
        <v>0</v>
      </c>
      <c r="J23383">
        <v>0</v>
      </c>
      <c r="L23383">
        <v>0</v>
      </c>
      <c r="N23383">
        <v>0</v>
      </c>
      <c r="P23383">
        <v>0</v>
      </c>
      <c r="Q23383">
        <v>0</v>
      </c>
      <c r="S23383">
        <v>0</v>
      </c>
    </row>
    <row r="23384" spans="1:19" x14ac:dyDescent="0.3">
      <c r="A23384" t="str">
        <f t="shared" si="29"/>
        <v>Medstar GeorgetownAll DCSDec-24</v>
      </c>
      <c r="B23384" s="171" t="s">
        <v>46300</v>
      </c>
      <c r="C23384" s="171" t="s">
        <v>24508</v>
      </c>
      <c r="D23384" s="171" t="s">
        <v>15341</v>
      </c>
      <c r="E23384" s="11">
        <v>45627</v>
      </c>
      <c r="F23384">
        <v>0</v>
      </c>
      <c r="G23384">
        <v>0</v>
      </c>
      <c r="I23384">
        <v>0</v>
      </c>
      <c r="J23384">
        <v>0</v>
      </c>
      <c r="L23384">
        <v>0</v>
      </c>
      <c r="N23384">
        <v>0</v>
      </c>
      <c r="P23384">
        <v>0</v>
      </c>
      <c r="Q23384">
        <v>0</v>
      </c>
      <c r="S23384">
        <v>0</v>
      </c>
    </row>
    <row r="23385" spans="1:19" x14ac:dyDescent="0.3">
      <c r="A23385" t="str">
        <f t="shared" si="29"/>
        <v>Medstar GeorgetownAll FFDec-24</v>
      </c>
      <c r="B23385" s="171" t="s">
        <v>46301</v>
      </c>
      <c r="C23385" s="171" t="s">
        <v>24508</v>
      </c>
      <c r="D23385" s="171" t="s">
        <v>80</v>
      </c>
      <c r="E23385" s="11">
        <v>45627</v>
      </c>
      <c r="F23385">
        <v>0</v>
      </c>
      <c r="G23385">
        <v>0</v>
      </c>
      <c r="I23385">
        <v>0</v>
      </c>
      <c r="J23385">
        <v>0</v>
      </c>
      <c r="L23385">
        <v>0</v>
      </c>
      <c r="N23385">
        <v>0</v>
      </c>
      <c r="P23385">
        <v>0</v>
      </c>
      <c r="Q23385">
        <v>0</v>
      </c>
      <c r="S23385">
        <v>0</v>
      </c>
    </row>
    <row r="23386" spans="1:19" x14ac:dyDescent="0.3">
      <c r="A23386" t="str">
        <f t="shared" si="29"/>
        <v>Community ConnectionsAll FFDec-24</v>
      </c>
      <c r="B23386" s="171" t="s">
        <v>46302</v>
      </c>
      <c r="C23386" s="171" t="s">
        <v>107</v>
      </c>
      <c r="D23386" s="171" t="s">
        <v>80</v>
      </c>
      <c r="E23386" s="11">
        <v>45627</v>
      </c>
      <c r="F23386">
        <v>0</v>
      </c>
      <c r="G23386">
        <v>0</v>
      </c>
      <c r="I23386">
        <v>0</v>
      </c>
      <c r="J23386">
        <v>0</v>
      </c>
      <c r="L23386">
        <v>0</v>
      </c>
      <c r="N23386">
        <v>0</v>
      </c>
      <c r="P23386">
        <v>0</v>
      </c>
      <c r="Q23386">
        <v>0</v>
      </c>
      <c r="S23386">
        <v>0</v>
      </c>
    </row>
    <row r="23387" spans="1:19" x14ac:dyDescent="0.3">
      <c r="A23387" t="str">
        <f t="shared" si="29"/>
        <v>Community ConnectionsAll DCSDec-24</v>
      </c>
      <c r="B23387" s="171" t="s">
        <v>46303</v>
      </c>
      <c r="C23387" s="171" t="s">
        <v>107</v>
      </c>
      <c r="D23387" s="171" t="s">
        <v>15341</v>
      </c>
      <c r="E23387" s="11">
        <v>45627</v>
      </c>
      <c r="F23387">
        <v>0</v>
      </c>
      <c r="G23387">
        <v>0</v>
      </c>
      <c r="I23387">
        <v>0</v>
      </c>
      <c r="J23387">
        <v>0</v>
      </c>
      <c r="L23387">
        <v>0</v>
      </c>
      <c r="N23387">
        <v>0</v>
      </c>
      <c r="P23387">
        <v>0</v>
      </c>
      <c r="Q23387">
        <v>0</v>
      </c>
      <c r="S23387">
        <v>0</v>
      </c>
    </row>
    <row r="23388" spans="1:19" x14ac:dyDescent="0.3">
      <c r="A23388" t="str">
        <f t="shared" si="29"/>
        <v>Marys CenterAll FFDec-24</v>
      </c>
      <c r="B23388" s="171" t="s">
        <v>46304</v>
      </c>
      <c r="C23388" s="171" t="s">
        <v>173</v>
      </c>
      <c r="D23388" s="171" t="s">
        <v>80</v>
      </c>
      <c r="E23388" s="11">
        <v>45627</v>
      </c>
      <c r="F23388">
        <v>5</v>
      </c>
      <c r="G23388">
        <v>6.5</v>
      </c>
      <c r="I23388">
        <v>8</v>
      </c>
      <c r="J23388">
        <v>29</v>
      </c>
      <c r="L23388">
        <v>37</v>
      </c>
      <c r="N23388">
        <v>7</v>
      </c>
      <c r="P23388">
        <v>0</v>
      </c>
      <c r="Q23388">
        <v>0</v>
      </c>
      <c r="S23388">
        <v>1</v>
      </c>
    </row>
    <row r="23389" spans="1:19" x14ac:dyDescent="0.3">
      <c r="A23389" t="str">
        <f t="shared" si="29"/>
        <v>Marys CenterAll DCSDec-24</v>
      </c>
      <c r="B23389" s="171" t="s">
        <v>46305</v>
      </c>
      <c r="C23389" s="171" t="s">
        <v>173</v>
      </c>
      <c r="D23389" s="171" t="s">
        <v>15341</v>
      </c>
      <c r="E23389" s="11">
        <v>45627</v>
      </c>
      <c r="F23389">
        <v>0</v>
      </c>
      <c r="G23389">
        <v>0</v>
      </c>
      <c r="I23389">
        <v>0</v>
      </c>
      <c r="J23389">
        <v>0</v>
      </c>
      <c r="L23389">
        <v>0</v>
      </c>
      <c r="N23389">
        <v>0</v>
      </c>
      <c r="P23389">
        <v>0</v>
      </c>
      <c r="Q23389">
        <v>0</v>
      </c>
      <c r="S23389">
        <v>0</v>
      </c>
    </row>
    <row r="23390" spans="1:19" x14ac:dyDescent="0.3">
      <c r="A23390" t="str">
        <f t="shared" si="29"/>
        <v>PIECEAll FFDec-24</v>
      </c>
      <c r="B23390" s="171" t="s">
        <v>46306</v>
      </c>
      <c r="C23390" s="171" t="s">
        <v>200</v>
      </c>
      <c r="D23390" s="171" t="s">
        <v>80</v>
      </c>
      <c r="E23390" s="11">
        <v>45627</v>
      </c>
      <c r="F23390">
        <v>6</v>
      </c>
      <c r="G23390">
        <v>5.5</v>
      </c>
      <c r="I23390">
        <v>7</v>
      </c>
      <c r="J23390">
        <v>29</v>
      </c>
      <c r="L23390">
        <v>27</v>
      </c>
      <c r="N23390">
        <v>7</v>
      </c>
      <c r="P23390">
        <v>0</v>
      </c>
      <c r="Q23390">
        <v>0</v>
      </c>
      <c r="S23390">
        <v>0</v>
      </c>
    </row>
    <row r="23391" spans="1:19" x14ac:dyDescent="0.3">
      <c r="A23391" t="str">
        <f t="shared" si="29"/>
        <v>PIECEAll DCSDec-24</v>
      </c>
      <c r="B23391" s="171" t="s">
        <v>46307</v>
      </c>
      <c r="C23391" s="171" t="s">
        <v>200</v>
      </c>
      <c r="D23391" s="171" t="s">
        <v>15341</v>
      </c>
      <c r="E23391" s="11">
        <v>45627</v>
      </c>
      <c r="F23391">
        <v>0</v>
      </c>
      <c r="G23391">
        <v>0</v>
      </c>
      <c r="I23391">
        <v>0</v>
      </c>
      <c r="J23391">
        <v>0</v>
      </c>
      <c r="L23391">
        <v>0</v>
      </c>
      <c r="N23391">
        <v>0</v>
      </c>
      <c r="P23391">
        <v>0</v>
      </c>
      <c r="Q23391">
        <v>0</v>
      </c>
      <c r="S23391">
        <v>0</v>
      </c>
    </row>
    <row r="23392" spans="1:19" x14ac:dyDescent="0.3">
      <c r="A23392" t="str">
        <f t="shared" si="29"/>
        <v>Adoptions TogetherAll CombinedDec-24</v>
      </c>
      <c r="B23392" s="171" t="s">
        <v>46308</v>
      </c>
      <c r="C23392" s="171" t="s">
        <v>73</v>
      </c>
      <c r="D23392" s="171" t="s">
        <v>4</v>
      </c>
      <c r="E23392" s="11">
        <v>45627</v>
      </c>
      <c r="F23392">
        <v>0</v>
      </c>
      <c r="G23392">
        <v>0</v>
      </c>
      <c r="I23392">
        <v>0</v>
      </c>
      <c r="J23392">
        <v>0</v>
      </c>
      <c r="L23392">
        <v>0</v>
      </c>
      <c r="N23392">
        <v>0</v>
      </c>
      <c r="P23392">
        <v>0</v>
      </c>
      <c r="Q23392">
        <v>0</v>
      </c>
      <c r="S23392">
        <v>0</v>
      </c>
    </row>
    <row r="23393" spans="1:19" x14ac:dyDescent="0.3">
      <c r="A23393" t="str">
        <f t="shared" si="29"/>
        <v>Better MorningsAll CombinedDec-24</v>
      </c>
      <c r="B23393" s="171" t="s">
        <v>46309</v>
      </c>
      <c r="C23393" s="171" t="s">
        <v>24891</v>
      </c>
      <c r="D23393" s="171" t="s">
        <v>4</v>
      </c>
      <c r="E23393" s="11">
        <v>45627</v>
      </c>
      <c r="F23393">
        <v>7</v>
      </c>
      <c r="G23393">
        <v>7</v>
      </c>
      <c r="I23393">
        <v>23</v>
      </c>
      <c r="J23393">
        <v>33</v>
      </c>
      <c r="L23393">
        <v>33</v>
      </c>
      <c r="N23393">
        <v>13</v>
      </c>
      <c r="P23393">
        <v>7</v>
      </c>
      <c r="Q23393">
        <v>10</v>
      </c>
      <c r="S23393">
        <v>10</v>
      </c>
    </row>
    <row r="23394" spans="1:19" x14ac:dyDescent="0.3">
      <c r="A23394" t="str">
        <f t="shared" si="29"/>
        <v>CatholicAll CombinedDec-24</v>
      </c>
      <c r="B23394" s="171" t="s">
        <v>46310</v>
      </c>
      <c r="C23394" s="171" t="s">
        <v>18229</v>
      </c>
      <c r="D23394" s="171" t="s">
        <v>4</v>
      </c>
      <c r="E23394" s="11">
        <v>45627</v>
      </c>
      <c r="F23394">
        <v>0</v>
      </c>
      <c r="G23394">
        <v>0</v>
      </c>
      <c r="I23394">
        <v>0</v>
      </c>
      <c r="J23394">
        <v>0</v>
      </c>
      <c r="L23394">
        <v>0</v>
      </c>
      <c r="N23394">
        <v>0</v>
      </c>
      <c r="P23394">
        <v>0</v>
      </c>
      <c r="Q23394">
        <v>0</v>
      </c>
      <c r="S23394">
        <v>0</v>
      </c>
    </row>
    <row r="23395" spans="1:19" x14ac:dyDescent="0.3">
      <c r="A23395" t="str">
        <f t="shared" si="29"/>
        <v>Community ConnectionsAll CombinedDec-24</v>
      </c>
      <c r="B23395" s="171" t="s">
        <v>46311</v>
      </c>
      <c r="C23395" s="171" t="s">
        <v>107</v>
      </c>
      <c r="D23395" s="171" t="s">
        <v>4</v>
      </c>
      <c r="E23395" s="11">
        <v>45627</v>
      </c>
      <c r="F23395">
        <v>0</v>
      </c>
      <c r="G23395">
        <v>0</v>
      </c>
      <c r="I23395">
        <v>0</v>
      </c>
      <c r="J23395">
        <v>0</v>
      </c>
      <c r="L23395">
        <v>0</v>
      </c>
      <c r="N23395">
        <v>0</v>
      </c>
      <c r="P23395">
        <v>0</v>
      </c>
      <c r="Q23395">
        <v>0</v>
      </c>
      <c r="S23395">
        <v>0</v>
      </c>
    </row>
    <row r="23396" spans="1:19" x14ac:dyDescent="0.3">
      <c r="A23396" t="str">
        <f t="shared" si="29"/>
        <v>ContemporaryAll CombinedDec-24</v>
      </c>
      <c r="B23396" s="171" t="s">
        <v>46312</v>
      </c>
      <c r="C23396" s="171" t="s">
        <v>9887</v>
      </c>
      <c r="D23396" s="171" t="s">
        <v>4</v>
      </c>
      <c r="E23396" s="11">
        <v>45627</v>
      </c>
      <c r="F23396">
        <v>0</v>
      </c>
      <c r="G23396">
        <v>0</v>
      </c>
      <c r="I23396">
        <v>0</v>
      </c>
      <c r="J23396">
        <v>0</v>
      </c>
      <c r="L23396">
        <v>0</v>
      </c>
      <c r="N23396">
        <v>0</v>
      </c>
      <c r="P23396">
        <v>0</v>
      </c>
      <c r="Q23396">
        <v>0</v>
      </c>
      <c r="S23396">
        <v>0</v>
      </c>
    </row>
    <row r="23397" spans="1:19" x14ac:dyDescent="0.3">
      <c r="A23397" t="str">
        <f t="shared" si="29"/>
        <v>DBH Family SupportAll CombinedDec-24</v>
      </c>
      <c r="B23397" s="171" t="s">
        <v>46313</v>
      </c>
      <c r="C23397" s="171" t="s">
        <v>35078</v>
      </c>
      <c r="D23397" s="171" t="s">
        <v>4</v>
      </c>
      <c r="E23397" s="11">
        <v>45627</v>
      </c>
      <c r="F23397">
        <v>0</v>
      </c>
      <c r="G23397">
        <v>0</v>
      </c>
      <c r="I23397">
        <v>0</v>
      </c>
      <c r="J23397">
        <v>0</v>
      </c>
      <c r="L23397">
        <v>0</v>
      </c>
      <c r="N23397">
        <v>0</v>
      </c>
      <c r="P23397">
        <v>0</v>
      </c>
      <c r="Q23397">
        <v>0</v>
      </c>
      <c r="S23397">
        <v>0</v>
      </c>
    </row>
    <row r="23398" spans="1:19" x14ac:dyDescent="0.3">
      <c r="A23398" t="str">
        <f t="shared" si="29"/>
        <v>Family MattersAll CombinedDec-24</v>
      </c>
      <c r="B23398" s="171" t="s">
        <v>46314</v>
      </c>
      <c r="C23398" s="171" t="s">
        <v>11260</v>
      </c>
      <c r="D23398" s="171" t="s">
        <v>4</v>
      </c>
      <c r="E23398" s="11">
        <v>45627</v>
      </c>
      <c r="F23398">
        <v>0</v>
      </c>
      <c r="G23398">
        <v>0</v>
      </c>
      <c r="I23398">
        <v>0</v>
      </c>
      <c r="J23398">
        <v>0</v>
      </c>
      <c r="L23398">
        <v>0</v>
      </c>
      <c r="N23398">
        <v>0</v>
      </c>
      <c r="P23398">
        <v>0</v>
      </c>
      <c r="Q23398">
        <v>0</v>
      </c>
      <c r="S23398">
        <v>0</v>
      </c>
    </row>
    <row r="23399" spans="1:19" x14ac:dyDescent="0.3">
      <c r="A23399" t="str">
        <f t="shared" si="29"/>
        <v>Federal CityAll CombinedDec-24</v>
      </c>
      <c r="B23399" s="171" t="s">
        <v>46315</v>
      </c>
      <c r="C23399" s="171" t="s">
        <v>122</v>
      </c>
      <c r="D23399" s="171" t="s">
        <v>4</v>
      </c>
      <c r="E23399" s="11">
        <v>45627</v>
      </c>
      <c r="F23399">
        <v>0</v>
      </c>
      <c r="G23399">
        <v>0</v>
      </c>
      <c r="I23399">
        <v>0</v>
      </c>
      <c r="J23399">
        <v>0</v>
      </c>
      <c r="L23399">
        <v>0</v>
      </c>
      <c r="N23399">
        <v>0</v>
      </c>
      <c r="P23399">
        <v>0</v>
      </c>
      <c r="Q23399">
        <v>0</v>
      </c>
      <c r="S23399">
        <v>0</v>
      </c>
    </row>
    <row r="23400" spans="1:19" x14ac:dyDescent="0.3">
      <c r="A23400" t="str">
        <f t="shared" si="29"/>
        <v>First Home CareAll CombinedDec-24</v>
      </c>
      <c r="B23400" s="171" t="s">
        <v>46316</v>
      </c>
      <c r="C23400" s="171" t="s">
        <v>125</v>
      </c>
      <c r="D23400" s="171" t="s">
        <v>4</v>
      </c>
      <c r="E23400" s="11">
        <v>45627</v>
      </c>
      <c r="F23400">
        <v>0</v>
      </c>
      <c r="G23400">
        <v>0</v>
      </c>
      <c r="I23400">
        <v>0</v>
      </c>
      <c r="J23400">
        <v>0</v>
      </c>
      <c r="L23400">
        <v>0</v>
      </c>
      <c r="N23400">
        <v>0</v>
      </c>
      <c r="P23400">
        <v>0</v>
      </c>
      <c r="Q23400">
        <v>0</v>
      </c>
      <c r="S23400">
        <v>0</v>
      </c>
    </row>
    <row r="23401" spans="1:19" x14ac:dyDescent="0.3">
      <c r="A23401" t="str">
        <f t="shared" si="29"/>
        <v>Foundations for Home &amp; CommunityAll CombinedDec-24</v>
      </c>
      <c r="B23401" s="171" t="s">
        <v>46317</v>
      </c>
      <c r="C23401" s="171" t="s">
        <v>14899</v>
      </c>
      <c r="D23401" s="171" t="s">
        <v>4</v>
      </c>
      <c r="E23401" s="11">
        <v>45627</v>
      </c>
      <c r="F23401">
        <v>0</v>
      </c>
      <c r="G23401">
        <v>0</v>
      </c>
      <c r="I23401">
        <v>0</v>
      </c>
      <c r="J23401">
        <v>0</v>
      </c>
      <c r="L23401">
        <v>0</v>
      </c>
      <c r="N23401">
        <v>0</v>
      </c>
      <c r="P23401">
        <v>0</v>
      </c>
      <c r="Q23401">
        <v>0</v>
      </c>
      <c r="S23401">
        <v>0</v>
      </c>
    </row>
    <row r="23402" spans="1:19" x14ac:dyDescent="0.3">
      <c r="A23402" t="str">
        <f t="shared" si="29"/>
        <v>FPSAll CombinedDec-24</v>
      </c>
      <c r="B23402" s="171" t="s">
        <v>46318</v>
      </c>
      <c r="C23402" s="171" t="s">
        <v>137</v>
      </c>
      <c r="D23402" s="171" t="s">
        <v>4</v>
      </c>
      <c r="E23402" s="11">
        <v>45627</v>
      </c>
      <c r="F23402">
        <v>0</v>
      </c>
      <c r="G23402">
        <v>0</v>
      </c>
      <c r="I23402">
        <v>0</v>
      </c>
      <c r="J23402">
        <v>0</v>
      </c>
      <c r="L23402">
        <v>0</v>
      </c>
      <c r="N23402">
        <v>0</v>
      </c>
      <c r="P23402">
        <v>0</v>
      </c>
      <c r="Q23402">
        <v>0</v>
      </c>
      <c r="S23402">
        <v>0</v>
      </c>
    </row>
    <row r="23403" spans="1:19" x14ac:dyDescent="0.3">
      <c r="A23403" t="str">
        <f t="shared" si="29"/>
        <v>Green DoorAll CombinedDec-24</v>
      </c>
      <c r="B23403" s="171" t="s">
        <v>46319</v>
      </c>
      <c r="C23403" s="171" t="s">
        <v>8615</v>
      </c>
      <c r="D23403" s="171" t="s">
        <v>4</v>
      </c>
      <c r="E23403" s="11">
        <v>45627</v>
      </c>
      <c r="F23403">
        <v>0</v>
      </c>
      <c r="G23403">
        <v>0</v>
      </c>
      <c r="I23403">
        <v>0</v>
      </c>
      <c r="J23403">
        <v>0</v>
      </c>
      <c r="L23403">
        <v>0</v>
      </c>
      <c r="N23403">
        <v>0</v>
      </c>
      <c r="P23403">
        <v>0</v>
      </c>
      <c r="Q23403">
        <v>0</v>
      </c>
      <c r="S23403">
        <v>0</v>
      </c>
    </row>
    <row r="23404" spans="1:19" x14ac:dyDescent="0.3">
      <c r="A23404" t="str">
        <f t="shared" si="29"/>
        <v>Healthy FuturesAll CombinedDec-24</v>
      </c>
      <c r="B23404" s="171" t="s">
        <v>46320</v>
      </c>
      <c r="C23404" s="171" t="s">
        <v>35025</v>
      </c>
      <c r="D23404" s="171" t="s">
        <v>4</v>
      </c>
      <c r="E23404" s="11">
        <v>45627</v>
      </c>
      <c r="F23404">
        <v>0</v>
      </c>
      <c r="G23404">
        <v>0</v>
      </c>
      <c r="I23404">
        <v>0</v>
      </c>
      <c r="J23404">
        <v>0</v>
      </c>
      <c r="L23404">
        <v>0</v>
      </c>
      <c r="N23404">
        <v>0</v>
      </c>
      <c r="P23404">
        <v>0</v>
      </c>
      <c r="Q23404">
        <v>0</v>
      </c>
      <c r="S23404">
        <v>0</v>
      </c>
    </row>
    <row r="23405" spans="1:19" x14ac:dyDescent="0.3">
      <c r="A23405" t="str">
        <f t="shared" si="29"/>
        <v>HillcrestAll CombinedDec-24</v>
      </c>
      <c r="B23405" s="171" t="s">
        <v>46321</v>
      </c>
      <c r="C23405" s="171" t="s">
        <v>146</v>
      </c>
      <c r="D23405" s="171" t="s">
        <v>4</v>
      </c>
      <c r="E23405" s="11">
        <v>45627</v>
      </c>
      <c r="F23405">
        <v>7.5</v>
      </c>
      <c r="G23405">
        <v>11.5</v>
      </c>
      <c r="I23405">
        <v>35</v>
      </c>
      <c r="J23405">
        <v>37</v>
      </c>
      <c r="L23405">
        <v>55</v>
      </c>
      <c r="N23405">
        <v>33</v>
      </c>
      <c r="P23405">
        <v>0</v>
      </c>
      <c r="Q23405">
        <v>0</v>
      </c>
      <c r="S23405">
        <v>2</v>
      </c>
    </row>
    <row r="23406" spans="1:19" x14ac:dyDescent="0.3">
      <c r="A23406" t="str">
        <f t="shared" si="29"/>
        <v>LAYCAll CombinedDec-24</v>
      </c>
      <c r="B23406" s="171" t="s">
        <v>46322</v>
      </c>
      <c r="C23406" s="171" t="s">
        <v>161</v>
      </c>
      <c r="D23406" s="171" t="s">
        <v>4</v>
      </c>
      <c r="E23406" s="11">
        <v>45627</v>
      </c>
      <c r="F23406">
        <v>2.5</v>
      </c>
      <c r="G23406">
        <v>3.5</v>
      </c>
      <c r="I23406">
        <v>9</v>
      </c>
      <c r="J23406">
        <v>15</v>
      </c>
      <c r="L23406">
        <v>21</v>
      </c>
      <c r="N23406">
        <v>8</v>
      </c>
      <c r="P23406">
        <v>0</v>
      </c>
      <c r="Q23406">
        <v>0</v>
      </c>
      <c r="S23406">
        <v>1</v>
      </c>
    </row>
    <row r="23407" spans="1:19" x14ac:dyDescent="0.3">
      <c r="A23407" t="str">
        <f t="shared" si="29"/>
        <v>LCSAll CombinedDec-24</v>
      </c>
      <c r="B23407" s="171" t="s">
        <v>46323</v>
      </c>
      <c r="C23407" s="171" t="s">
        <v>18252</v>
      </c>
      <c r="D23407" s="171" t="s">
        <v>4</v>
      </c>
      <c r="E23407" s="11">
        <v>45627</v>
      </c>
      <c r="F23407">
        <v>0</v>
      </c>
      <c r="G23407">
        <v>0</v>
      </c>
      <c r="I23407">
        <v>0</v>
      </c>
      <c r="J23407">
        <v>0</v>
      </c>
      <c r="L23407">
        <v>0</v>
      </c>
      <c r="N23407">
        <v>0</v>
      </c>
      <c r="P23407">
        <v>0</v>
      </c>
      <c r="Q23407">
        <v>0</v>
      </c>
      <c r="S23407">
        <v>0</v>
      </c>
    </row>
    <row r="23408" spans="1:19" x14ac:dyDescent="0.3">
      <c r="A23408" t="str">
        <f t="shared" si="29"/>
        <v>LESAll CombinedDec-24</v>
      </c>
      <c r="B23408" s="171" t="s">
        <v>46324</v>
      </c>
      <c r="C23408" s="171" t="s">
        <v>167</v>
      </c>
      <c r="D23408" s="171" t="s">
        <v>4</v>
      </c>
      <c r="E23408" s="11">
        <v>45627</v>
      </c>
      <c r="F23408">
        <v>2.5</v>
      </c>
      <c r="G23408">
        <v>2.5</v>
      </c>
      <c r="I23408">
        <v>11</v>
      </c>
      <c r="J23408">
        <v>35</v>
      </c>
      <c r="L23408">
        <v>35</v>
      </c>
      <c r="N23408">
        <v>11</v>
      </c>
      <c r="P23408">
        <v>0</v>
      </c>
      <c r="Q23408">
        <v>0</v>
      </c>
      <c r="S23408">
        <v>0</v>
      </c>
    </row>
    <row r="23409" spans="1:19" x14ac:dyDescent="0.3">
      <c r="A23409" t="str">
        <f t="shared" si="29"/>
        <v>Marys CenterAll CombinedDec-24</v>
      </c>
      <c r="B23409" s="171" t="s">
        <v>46325</v>
      </c>
      <c r="C23409" s="171" t="s">
        <v>173</v>
      </c>
      <c r="D23409" s="171" t="s">
        <v>4</v>
      </c>
      <c r="E23409" s="11">
        <v>45627</v>
      </c>
      <c r="F23409">
        <v>5</v>
      </c>
      <c r="G23409">
        <v>6.5</v>
      </c>
      <c r="I23409">
        <v>8</v>
      </c>
      <c r="J23409">
        <v>29</v>
      </c>
      <c r="L23409">
        <v>37</v>
      </c>
      <c r="N23409">
        <v>7</v>
      </c>
      <c r="P23409">
        <v>0</v>
      </c>
      <c r="Q23409">
        <v>0</v>
      </c>
      <c r="S23409">
        <v>1</v>
      </c>
    </row>
    <row r="23410" spans="1:19" x14ac:dyDescent="0.3">
      <c r="A23410" t="str">
        <f t="shared" si="29"/>
        <v>MBI HSAll CombinedDec-24</v>
      </c>
      <c r="B23410" s="171" t="s">
        <v>46326</v>
      </c>
      <c r="C23410" s="171" t="s">
        <v>179</v>
      </c>
      <c r="D23410" s="171" t="s">
        <v>4</v>
      </c>
      <c r="E23410" s="11">
        <v>45627</v>
      </c>
      <c r="F23410">
        <v>10</v>
      </c>
      <c r="G23410">
        <v>15</v>
      </c>
      <c r="I23410">
        <v>51</v>
      </c>
      <c r="J23410">
        <v>93</v>
      </c>
      <c r="L23410">
        <v>130</v>
      </c>
      <c r="N23410">
        <v>49</v>
      </c>
      <c r="P23410">
        <v>6</v>
      </c>
      <c r="Q23410">
        <v>6</v>
      </c>
      <c r="S23410">
        <v>2</v>
      </c>
    </row>
    <row r="23411" spans="1:19" x14ac:dyDescent="0.3">
      <c r="A23411" t="str">
        <f t="shared" si="29"/>
        <v>MD Family ResourcesAll CombinedDec-24</v>
      </c>
      <c r="B23411" s="171" t="s">
        <v>46327</v>
      </c>
      <c r="C23411" s="171" t="s">
        <v>185</v>
      </c>
      <c r="D23411" s="171" t="s">
        <v>4</v>
      </c>
      <c r="E23411" s="11">
        <v>45627</v>
      </c>
      <c r="F23411">
        <v>1.5</v>
      </c>
      <c r="G23411">
        <v>8.5</v>
      </c>
      <c r="I23411">
        <v>4</v>
      </c>
      <c r="J23411">
        <v>8</v>
      </c>
      <c r="L23411">
        <v>42</v>
      </c>
      <c r="N23411">
        <v>4</v>
      </c>
      <c r="P23411">
        <v>0</v>
      </c>
      <c r="Q23411">
        <v>0</v>
      </c>
      <c r="S23411">
        <v>0</v>
      </c>
    </row>
    <row r="23412" spans="1:19" x14ac:dyDescent="0.3">
      <c r="A23412" t="str">
        <f t="shared" si="29"/>
        <v>Medstar GeorgetownAll CombinedDec-24</v>
      </c>
      <c r="B23412" s="171" t="s">
        <v>46328</v>
      </c>
      <c r="C23412" s="171" t="s">
        <v>24508</v>
      </c>
      <c r="D23412" s="171" t="s">
        <v>4</v>
      </c>
      <c r="E23412" s="11">
        <v>45627</v>
      </c>
      <c r="F23412">
        <v>0</v>
      </c>
      <c r="G23412">
        <v>0</v>
      </c>
      <c r="I23412">
        <v>0</v>
      </c>
      <c r="J23412">
        <v>0</v>
      </c>
      <c r="L23412">
        <v>0</v>
      </c>
      <c r="N23412">
        <v>0</v>
      </c>
      <c r="P23412">
        <v>0</v>
      </c>
      <c r="Q23412">
        <v>0</v>
      </c>
      <c r="S23412">
        <v>0</v>
      </c>
    </row>
    <row r="23413" spans="1:19" x14ac:dyDescent="0.3">
      <c r="A23413" t="str">
        <f t="shared" si="29"/>
        <v>PASSAll CombinedDec-24</v>
      </c>
      <c r="B23413" s="171" t="s">
        <v>46329</v>
      </c>
      <c r="C23413" s="171" t="s">
        <v>191</v>
      </c>
      <c r="D23413" s="171" t="s">
        <v>4</v>
      </c>
      <c r="E23413" s="11">
        <v>45627</v>
      </c>
      <c r="F23413">
        <v>9.5</v>
      </c>
      <c r="G23413">
        <v>13</v>
      </c>
      <c r="I23413">
        <v>89</v>
      </c>
      <c r="J23413">
        <v>87</v>
      </c>
      <c r="L23413">
        <v>107</v>
      </c>
      <c r="N23413">
        <v>57</v>
      </c>
      <c r="P23413">
        <v>9</v>
      </c>
      <c r="Q23413">
        <v>11</v>
      </c>
      <c r="S23413">
        <v>32</v>
      </c>
    </row>
    <row r="23414" spans="1:19" x14ac:dyDescent="0.3">
      <c r="A23414" t="str">
        <f t="shared" si="29"/>
        <v>PIECEAll CombinedDec-24</v>
      </c>
      <c r="B23414" s="171" t="s">
        <v>46330</v>
      </c>
      <c r="C23414" s="171" t="s">
        <v>200</v>
      </c>
      <c r="D23414" s="171" t="s">
        <v>4</v>
      </c>
      <c r="E23414" s="11">
        <v>45627</v>
      </c>
      <c r="F23414">
        <v>6</v>
      </c>
      <c r="G23414">
        <v>5.5</v>
      </c>
      <c r="I23414">
        <v>7</v>
      </c>
      <c r="J23414">
        <v>29</v>
      </c>
      <c r="L23414">
        <v>27</v>
      </c>
      <c r="N23414">
        <v>7</v>
      </c>
      <c r="P23414">
        <v>1</v>
      </c>
      <c r="Q23414">
        <v>1</v>
      </c>
      <c r="S23414">
        <v>0</v>
      </c>
    </row>
    <row r="23415" spans="1:19" x14ac:dyDescent="0.3">
      <c r="A23415" t="str">
        <f t="shared" si="29"/>
        <v>RiversideAll CombinedDec-24</v>
      </c>
      <c r="B23415" s="171" t="s">
        <v>46331</v>
      </c>
      <c r="C23415" s="171" t="s">
        <v>212</v>
      </c>
      <c r="D23415" s="171" t="s">
        <v>4</v>
      </c>
      <c r="E23415" s="11">
        <v>45627</v>
      </c>
      <c r="F23415">
        <v>0</v>
      </c>
      <c r="G23415">
        <v>0</v>
      </c>
      <c r="I23415">
        <v>0</v>
      </c>
      <c r="J23415">
        <v>0</v>
      </c>
      <c r="L23415">
        <v>0</v>
      </c>
      <c r="N23415">
        <v>0</v>
      </c>
      <c r="P23415">
        <v>0</v>
      </c>
      <c r="Q23415">
        <v>0</v>
      </c>
      <c r="S23415">
        <v>0</v>
      </c>
    </row>
    <row r="23416" spans="1:19" x14ac:dyDescent="0.3">
      <c r="A23416" t="str">
        <f t="shared" si="29"/>
        <v>TFCCAll CombinedDec-24</v>
      </c>
      <c r="B23416" s="171" t="s">
        <v>46332</v>
      </c>
      <c r="C23416" s="171" t="s">
        <v>215</v>
      </c>
      <c r="D23416" s="171" t="s">
        <v>4</v>
      </c>
      <c r="E23416" s="11">
        <v>45627</v>
      </c>
      <c r="F23416">
        <v>0</v>
      </c>
      <c r="G23416">
        <v>0</v>
      </c>
      <c r="I23416">
        <v>0</v>
      </c>
      <c r="J23416">
        <v>0</v>
      </c>
      <c r="L23416">
        <v>0</v>
      </c>
      <c r="N23416">
        <v>0</v>
      </c>
      <c r="P23416">
        <v>0</v>
      </c>
      <c r="Q23416">
        <v>0</v>
      </c>
      <c r="S23416">
        <v>0</v>
      </c>
    </row>
    <row r="23417" spans="1:19" x14ac:dyDescent="0.3">
      <c r="A23417" t="str">
        <f t="shared" si="29"/>
        <v>UmbrellaAll CombinedDec-24</v>
      </c>
      <c r="B23417" s="171" t="s">
        <v>46333</v>
      </c>
      <c r="C23417" s="171" t="s">
        <v>35119</v>
      </c>
      <c r="D23417" s="171" t="s">
        <v>4</v>
      </c>
      <c r="E23417" s="11">
        <v>45627</v>
      </c>
      <c r="F23417">
        <v>8</v>
      </c>
      <c r="G23417">
        <v>8</v>
      </c>
      <c r="I23417">
        <v>34</v>
      </c>
      <c r="J23417">
        <v>74</v>
      </c>
      <c r="L23417">
        <v>74</v>
      </c>
      <c r="N23417">
        <v>34</v>
      </c>
      <c r="P23417">
        <v>0</v>
      </c>
      <c r="Q23417">
        <v>0</v>
      </c>
      <c r="S23417">
        <v>0</v>
      </c>
    </row>
    <row r="23418" spans="1:19" x14ac:dyDescent="0.3">
      <c r="A23418" t="str">
        <f t="shared" si="29"/>
        <v>UniversalAll CombinedDec-24</v>
      </c>
      <c r="B23418" s="171" t="s">
        <v>46334</v>
      </c>
      <c r="C23418" s="171" t="s">
        <v>221</v>
      </c>
      <c r="D23418" s="171" t="s">
        <v>4</v>
      </c>
      <c r="E23418" s="11">
        <v>45627</v>
      </c>
      <c r="F23418">
        <v>0</v>
      </c>
      <c r="G23418">
        <v>0</v>
      </c>
      <c r="I23418">
        <v>0</v>
      </c>
      <c r="J23418">
        <v>0</v>
      </c>
      <c r="L23418">
        <v>0</v>
      </c>
      <c r="N23418">
        <v>0</v>
      </c>
      <c r="P23418">
        <v>0</v>
      </c>
      <c r="Q23418">
        <v>0</v>
      </c>
      <c r="S23418">
        <v>0</v>
      </c>
    </row>
    <row r="23419" spans="1:19" x14ac:dyDescent="0.3">
      <c r="A23419" t="str">
        <f t="shared" ref="A23419:A23454" si="30">C23419&amp;" "&amp;D23419&amp;"Dec-24"</f>
        <v>Wayne PlaceAll CombinedDec-24</v>
      </c>
      <c r="B23419" s="171" t="s">
        <v>46335</v>
      </c>
      <c r="C23419" s="171" t="s">
        <v>8233</v>
      </c>
      <c r="D23419" s="171" t="s">
        <v>4</v>
      </c>
      <c r="E23419" s="11">
        <v>45627</v>
      </c>
      <c r="F23419">
        <v>2</v>
      </c>
      <c r="G23419">
        <v>3</v>
      </c>
      <c r="I23419">
        <v>7</v>
      </c>
      <c r="J23419">
        <v>22</v>
      </c>
      <c r="L23419">
        <v>33</v>
      </c>
      <c r="N23419">
        <v>7</v>
      </c>
      <c r="P23419">
        <v>0</v>
      </c>
      <c r="Q23419">
        <v>1</v>
      </c>
      <c r="S23419">
        <v>0</v>
      </c>
    </row>
    <row r="23420" spans="1:19" x14ac:dyDescent="0.3">
      <c r="A23420" t="str">
        <f t="shared" si="30"/>
        <v>Youth VillagesAll CombinedDec-24</v>
      </c>
      <c r="B23420" s="171" t="s">
        <v>46336</v>
      </c>
      <c r="C23420" s="171" t="s">
        <v>233</v>
      </c>
      <c r="D23420" s="171" t="s">
        <v>4</v>
      </c>
      <c r="E23420" s="11">
        <v>45627</v>
      </c>
      <c r="F23420">
        <v>0</v>
      </c>
      <c r="G23420">
        <v>0</v>
      </c>
      <c r="I23420">
        <v>0</v>
      </c>
      <c r="J23420">
        <v>0</v>
      </c>
      <c r="L23420">
        <v>0</v>
      </c>
      <c r="N23420">
        <v>0</v>
      </c>
      <c r="P23420">
        <v>0</v>
      </c>
      <c r="Q23420">
        <v>0</v>
      </c>
      <c r="S23420">
        <v>0</v>
      </c>
    </row>
    <row r="23421" spans="1:19" x14ac:dyDescent="0.3">
      <c r="A23421" t="str">
        <f t="shared" si="30"/>
        <v>All ABC ProvidersABC FFDec-24</v>
      </c>
      <c r="B23421" s="171" t="s">
        <v>46337</v>
      </c>
      <c r="C23421" s="171" t="s">
        <v>35128</v>
      </c>
      <c r="D23421" s="171" t="s">
        <v>80</v>
      </c>
      <c r="E23421" s="11">
        <v>45627</v>
      </c>
      <c r="F23421">
        <v>0</v>
      </c>
      <c r="G23421">
        <v>0</v>
      </c>
      <c r="I23421">
        <v>0</v>
      </c>
      <c r="J23421">
        <v>0</v>
      </c>
      <c r="L23421">
        <v>0</v>
      </c>
      <c r="N23421">
        <v>0</v>
      </c>
      <c r="P23421">
        <v>0</v>
      </c>
      <c r="Q23421">
        <v>0</v>
      </c>
      <c r="S23421">
        <v>0</v>
      </c>
    </row>
    <row r="23422" spans="1:19" x14ac:dyDescent="0.3">
      <c r="A23422" t="str">
        <f t="shared" si="30"/>
        <v>All ABC ProvidersABC CombinedDec-24</v>
      </c>
      <c r="B23422" s="171" t="s">
        <v>46338</v>
      </c>
      <c r="C23422" s="171" t="s">
        <v>35128</v>
      </c>
      <c r="D23422" s="171" t="s">
        <v>4</v>
      </c>
      <c r="E23422" s="11">
        <v>45627</v>
      </c>
      <c r="F23422">
        <v>0</v>
      </c>
      <c r="G23422">
        <v>0</v>
      </c>
      <c r="I23422">
        <v>0</v>
      </c>
      <c r="J23422">
        <v>0</v>
      </c>
      <c r="L23422">
        <v>0</v>
      </c>
      <c r="N23422">
        <v>0</v>
      </c>
      <c r="P23422">
        <v>0</v>
      </c>
      <c r="Q23422">
        <v>0</v>
      </c>
      <c r="S23422">
        <v>0</v>
      </c>
    </row>
    <row r="23423" spans="1:19" x14ac:dyDescent="0.3">
      <c r="A23423" t="str">
        <f t="shared" si="30"/>
        <v>All A-CRA ProvidersA-CRA FFDec-24</v>
      </c>
      <c r="B23423" s="171" t="s">
        <v>46339</v>
      </c>
      <c r="C23423" s="171" t="s">
        <v>79</v>
      </c>
      <c r="D23423" s="171" t="s">
        <v>80</v>
      </c>
      <c r="E23423" s="11">
        <v>45627</v>
      </c>
      <c r="F23423">
        <v>0</v>
      </c>
      <c r="G23423">
        <v>0</v>
      </c>
      <c r="I23423">
        <v>0</v>
      </c>
      <c r="J23423">
        <v>0</v>
      </c>
      <c r="L23423">
        <v>0</v>
      </c>
      <c r="N23423">
        <v>0</v>
      </c>
      <c r="P23423">
        <v>0</v>
      </c>
      <c r="Q23423">
        <v>0</v>
      </c>
      <c r="S23423">
        <v>0</v>
      </c>
    </row>
    <row r="23424" spans="1:19" x14ac:dyDescent="0.3">
      <c r="A23424" t="str">
        <f t="shared" si="30"/>
        <v>All A-CRA ProvidersA-CRA CombinedDec-24</v>
      </c>
      <c r="B23424" s="171" t="s">
        <v>46340</v>
      </c>
      <c r="C23424" s="171" t="s">
        <v>79</v>
      </c>
      <c r="D23424" s="171" t="s">
        <v>4</v>
      </c>
      <c r="E23424" s="11">
        <v>45627</v>
      </c>
      <c r="F23424">
        <v>0</v>
      </c>
      <c r="G23424">
        <v>0</v>
      </c>
      <c r="I23424">
        <v>0</v>
      </c>
      <c r="J23424">
        <v>0</v>
      </c>
      <c r="L23424">
        <v>0</v>
      </c>
      <c r="N23424">
        <v>0</v>
      </c>
      <c r="P23424">
        <v>0</v>
      </c>
      <c r="Q23424">
        <v>0</v>
      </c>
      <c r="S23424">
        <v>0</v>
      </c>
    </row>
    <row r="23425" spans="1:19" x14ac:dyDescent="0.3">
      <c r="A23425" t="str">
        <f t="shared" si="30"/>
        <v>All CPP-FV ProvidersCPP-FV FFDec-24</v>
      </c>
      <c r="B23425" s="171" t="s">
        <v>46341</v>
      </c>
      <c r="C23425" s="171" t="s">
        <v>83</v>
      </c>
      <c r="D23425" s="171" t="s">
        <v>80</v>
      </c>
      <c r="E23425" s="11">
        <v>45627</v>
      </c>
      <c r="F23425">
        <v>4.5</v>
      </c>
      <c r="G23425">
        <v>5</v>
      </c>
      <c r="I23425">
        <v>11</v>
      </c>
      <c r="J23425">
        <v>24</v>
      </c>
      <c r="L23425">
        <v>28</v>
      </c>
      <c r="N23425">
        <v>10</v>
      </c>
      <c r="P23425">
        <v>0</v>
      </c>
      <c r="Q23425">
        <v>0</v>
      </c>
      <c r="S23425">
        <v>1</v>
      </c>
    </row>
    <row r="23426" spans="1:19" x14ac:dyDescent="0.3">
      <c r="A23426" t="str">
        <f t="shared" si="30"/>
        <v>All CPP-FV ProvidersCPP-FV DCSDec-24</v>
      </c>
      <c r="B23426" s="171" t="s">
        <v>46342</v>
      </c>
      <c r="C23426" s="171" t="s">
        <v>83</v>
      </c>
      <c r="D23426" s="171" t="s">
        <v>15341</v>
      </c>
      <c r="E23426" s="11">
        <v>45627</v>
      </c>
      <c r="F23426">
        <v>0</v>
      </c>
      <c r="G23426">
        <v>0</v>
      </c>
      <c r="I23426">
        <v>0</v>
      </c>
      <c r="J23426">
        <v>0</v>
      </c>
      <c r="L23426">
        <v>0</v>
      </c>
      <c r="N23426">
        <v>0</v>
      </c>
      <c r="P23426">
        <v>0</v>
      </c>
      <c r="Q23426">
        <v>0</v>
      </c>
      <c r="S23426">
        <v>0</v>
      </c>
    </row>
    <row r="23427" spans="1:19" x14ac:dyDescent="0.3">
      <c r="A23427" t="str">
        <f t="shared" si="30"/>
        <v>All CPP-FV ProvidersCPP-FV CombinedDec-24</v>
      </c>
      <c r="B23427" s="171" t="s">
        <v>46343</v>
      </c>
      <c r="C23427" s="171" t="s">
        <v>83</v>
      </c>
      <c r="D23427" s="171" t="s">
        <v>4</v>
      </c>
      <c r="E23427" s="11">
        <v>45627</v>
      </c>
      <c r="F23427">
        <v>4.5</v>
      </c>
      <c r="G23427">
        <v>5</v>
      </c>
      <c r="I23427">
        <v>11</v>
      </c>
      <c r="J23427">
        <v>24</v>
      </c>
      <c r="L23427">
        <v>28</v>
      </c>
      <c r="N23427">
        <v>10</v>
      </c>
      <c r="P23427">
        <v>0</v>
      </c>
      <c r="Q23427">
        <v>0</v>
      </c>
      <c r="S23427">
        <v>1</v>
      </c>
    </row>
    <row r="23428" spans="1:19" x14ac:dyDescent="0.3">
      <c r="A23428" t="str">
        <f t="shared" si="30"/>
        <v>All FFT ProvidersFFT FFDec-24</v>
      </c>
      <c r="B23428" s="171" t="s">
        <v>46344</v>
      </c>
      <c r="C23428" s="171" t="s">
        <v>86</v>
      </c>
      <c r="D23428" s="171" t="s">
        <v>80</v>
      </c>
      <c r="E23428" s="11">
        <v>45627</v>
      </c>
      <c r="F23428">
        <v>5</v>
      </c>
      <c r="G23428">
        <v>8</v>
      </c>
      <c r="I23428">
        <v>18</v>
      </c>
      <c r="J23428">
        <v>29</v>
      </c>
      <c r="L23428">
        <v>44</v>
      </c>
      <c r="N23428">
        <v>16</v>
      </c>
      <c r="P23428">
        <v>3</v>
      </c>
      <c r="Q23428">
        <v>5</v>
      </c>
      <c r="S23428">
        <v>2</v>
      </c>
    </row>
    <row r="23429" spans="1:19" x14ac:dyDescent="0.3">
      <c r="A23429" t="str">
        <f t="shared" si="30"/>
        <v>All FFT ProvidersFFT CombinedDec-24</v>
      </c>
      <c r="B23429" s="171" t="s">
        <v>46345</v>
      </c>
      <c r="C23429" s="171" t="s">
        <v>86</v>
      </c>
      <c r="D23429" s="171" t="s">
        <v>4</v>
      </c>
      <c r="E23429" s="11">
        <v>45627</v>
      </c>
      <c r="F23429">
        <v>5</v>
      </c>
      <c r="G23429">
        <v>8</v>
      </c>
      <c r="I23429">
        <v>18</v>
      </c>
      <c r="J23429">
        <v>29</v>
      </c>
      <c r="L23429">
        <v>44</v>
      </c>
      <c r="N23429">
        <v>16</v>
      </c>
      <c r="P23429">
        <v>3</v>
      </c>
      <c r="Q23429">
        <v>5</v>
      </c>
      <c r="S23429">
        <v>2</v>
      </c>
    </row>
    <row r="23430" spans="1:19" x14ac:dyDescent="0.3">
      <c r="A23430" t="str">
        <f t="shared" si="30"/>
        <v>All IHCBS ProvidersIHCBS FFDec-24</v>
      </c>
      <c r="B23430" s="171" t="s">
        <v>46346</v>
      </c>
      <c r="C23430" s="171" t="s">
        <v>40284</v>
      </c>
      <c r="D23430" s="171" t="s">
        <v>80</v>
      </c>
      <c r="E23430" s="11">
        <v>45627</v>
      </c>
      <c r="F23430">
        <v>11</v>
      </c>
      <c r="G23430">
        <v>16</v>
      </c>
      <c r="I23430">
        <v>43</v>
      </c>
      <c r="J23430">
        <v>44</v>
      </c>
      <c r="L23430">
        <v>64</v>
      </c>
      <c r="N23430">
        <v>30</v>
      </c>
      <c r="P23430">
        <v>5</v>
      </c>
      <c r="Q23430">
        <v>6</v>
      </c>
      <c r="S23430">
        <v>13</v>
      </c>
    </row>
    <row r="23431" spans="1:19" x14ac:dyDescent="0.3">
      <c r="A23431" t="str">
        <f t="shared" si="30"/>
        <v>All IHCBS ProvidersIHCBS CombinedDec-24</v>
      </c>
      <c r="B23431" s="171" t="s">
        <v>46347</v>
      </c>
      <c r="C23431" s="171" t="s">
        <v>40284</v>
      </c>
      <c r="D23431" s="171" t="s">
        <v>4</v>
      </c>
      <c r="E23431" s="11">
        <v>45627</v>
      </c>
      <c r="F23431">
        <v>11</v>
      </c>
      <c r="G23431">
        <v>16</v>
      </c>
      <c r="I23431">
        <v>43</v>
      </c>
      <c r="J23431">
        <v>44</v>
      </c>
      <c r="L23431">
        <v>64</v>
      </c>
      <c r="N23431">
        <v>30</v>
      </c>
      <c r="P23431">
        <v>5</v>
      </c>
      <c r="Q23431">
        <v>6</v>
      </c>
      <c r="S23431">
        <v>13</v>
      </c>
    </row>
    <row r="23432" spans="1:19" x14ac:dyDescent="0.3">
      <c r="A23432" t="str">
        <f t="shared" si="30"/>
        <v>All MST ProvidersMST FFDec-24</v>
      </c>
      <c r="B23432" s="171" t="s">
        <v>46348</v>
      </c>
      <c r="C23432" s="171" t="s">
        <v>89</v>
      </c>
      <c r="D23432" s="171" t="s">
        <v>80</v>
      </c>
      <c r="E23432" s="11">
        <v>45627</v>
      </c>
      <c r="F23432">
        <v>1</v>
      </c>
      <c r="G23432">
        <v>4</v>
      </c>
      <c r="I23432">
        <v>4</v>
      </c>
      <c r="J23432">
        <v>5</v>
      </c>
      <c r="L23432">
        <v>20</v>
      </c>
      <c r="N23432">
        <v>4</v>
      </c>
      <c r="P23432">
        <v>3</v>
      </c>
      <c r="Q23432">
        <v>3</v>
      </c>
      <c r="S23432">
        <v>0</v>
      </c>
    </row>
    <row r="23433" spans="1:19" x14ac:dyDescent="0.3">
      <c r="A23433" t="str">
        <f t="shared" si="30"/>
        <v>All MST ProvidersMST CombinedDec-24</v>
      </c>
      <c r="B23433" s="171" t="s">
        <v>46349</v>
      </c>
      <c r="C23433" s="171" t="s">
        <v>89</v>
      </c>
      <c r="D23433" s="171" t="s">
        <v>4</v>
      </c>
      <c r="E23433" s="11">
        <v>45627</v>
      </c>
      <c r="F23433">
        <v>1</v>
      </c>
      <c r="G23433">
        <v>4</v>
      </c>
      <c r="I23433">
        <v>4</v>
      </c>
      <c r="J23433">
        <v>5</v>
      </c>
      <c r="L23433">
        <v>20</v>
      </c>
      <c r="N23433">
        <v>4</v>
      </c>
      <c r="P23433">
        <v>3</v>
      </c>
      <c r="Q23433">
        <v>3</v>
      </c>
      <c r="S23433">
        <v>0</v>
      </c>
    </row>
    <row r="23434" spans="1:19" x14ac:dyDescent="0.3">
      <c r="A23434" t="str">
        <f t="shared" si="30"/>
        <v>All MST-PSB ProvidersMST-PSB FFDec-24</v>
      </c>
      <c r="B23434" s="171" t="s">
        <v>46350</v>
      </c>
      <c r="C23434" s="171" t="s">
        <v>92</v>
      </c>
      <c r="D23434" s="171" t="s">
        <v>80</v>
      </c>
      <c r="E23434" s="11">
        <v>45627</v>
      </c>
      <c r="F23434">
        <v>0</v>
      </c>
      <c r="G23434">
        <v>0</v>
      </c>
      <c r="I23434">
        <v>0</v>
      </c>
      <c r="J23434">
        <v>0</v>
      </c>
      <c r="L23434">
        <v>0</v>
      </c>
      <c r="N23434">
        <v>0</v>
      </c>
      <c r="P23434">
        <v>0</v>
      </c>
      <c r="Q23434">
        <v>0</v>
      </c>
      <c r="S23434">
        <v>0</v>
      </c>
    </row>
    <row r="23435" spans="1:19" x14ac:dyDescent="0.3">
      <c r="A23435" t="str">
        <f t="shared" si="30"/>
        <v>All MST-PSB ProvidersMST-PSB CombinedDec-24</v>
      </c>
      <c r="B23435" s="171" t="s">
        <v>46351</v>
      </c>
      <c r="C23435" s="171" t="s">
        <v>92</v>
      </c>
      <c r="D23435" s="171" t="s">
        <v>4</v>
      </c>
      <c r="E23435" s="11">
        <v>45627</v>
      </c>
      <c r="F23435">
        <v>0</v>
      </c>
      <c r="G23435">
        <v>0</v>
      </c>
      <c r="I23435">
        <v>0</v>
      </c>
      <c r="J23435">
        <v>0</v>
      </c>
      <c r="L23435">
        <v>0</v>
      </c>
      <c r="N23435">
        <v>0</v>
      </c>
      <c r="P23435">
        <v>0</v>
      </c>
      <c r="Q23435">
        <v>0</v>
      </c>
      <c r="S23435">
        <v>0</v>
      </c>
    </row>
    <row r="23436" spans="1:19" x14ac:dyDescent="0.3">
      <c r="A23436" t="str">
        <f t="shared" si="30"/>
        <v>All PCIT ProvidersPCIT FFDec-24</v>
      </c>
      <c r="B23436" s="171" t="s">
        <v>46352</v>
      </c>
      <c r="C23436" s="171" t="s">
        <v>95</v>
      </c>
      <c r="D23436" s="171" t="s">
        <v>80</v>
      </c>
      <c r="E23436" s="11">
        <v>45627</v>
      </c>
      <c r="F23436">
        <v>3.5</v>
      </c>
      <c r="G23436">
        <v>3.5</v>
      </c>
      <c r="I23436">
        <v>2</v>
      </c>
      <c r="J23436">
        <v>18</v>
      </c>
      <c r="L23436">
        <v>18</v>
      </c>
      <c r="N23436">
        <v>2</v>
      </c>
      <c r="P23436">
        <v>1</v>
      </c>
      <c r="Q23436">
        <v>1</v>
      </c>
      <c r="S23436">
        <v>0</v>
      </c>
    </row>
    <row r="23437" spans="1:19" x14ac:dyDescent="0.3">
      <c r="A23437" t="str">
        <f t="shared" si="30"/>
        <v>All PCIT ProvidersPCIT DCSDec-24</v>
      </c>
      <c r="B23437" s="171" t="s">
        <v>46353</v>
      </c>
      <c r="C23437" s="171" t="s">
        <v>95</v>
      </c>
      <c r="D23437" s="171" t="s">
        <v>15341</v>
      </c>
      <c r="E23437" s="11">
        <v>45627</v>
      </c>
      <c r="F23437">
        <v>0</v>
      </c>
      <c r="G23437">
        <v>0</v>
      </c>
      <c r="I23437">
        <v>0</v>
      </c>
      <c r="J23437">
        <v>0</v>
      </c>
      <c r="L23437">
        <v>0</v>
      </c>
      <c r="N23437">
        <v>0</v>
      </c>
      <c r="P23437">
        <v>0</v>
      </c>
      <c r="Q23437">
        <v>0</v>
      </c>
      <c r="S23437">
        <v>0</v>
      </c>
    </row>
    <row r="23438" spans="1:19" x14ac:dyDescent="0.3">
      <c r="A23438" t="str">
        <f t="shared" si="30"/>
        <v>All PCIT ProvidersPCIT CombinedDec-24</v>
      </c>
      <c r="B23438" s="171" t="s">
        <v>46354</v>
      </c>
      <c r="C23438" s="171" t="s">
        <v>95</v>
      </c>
      <c r="D23438" s="171" t="s">
        <v>4</v>
      </c>
      <c r="E23438" s="11">
        <v>45627</v>
      </c>
      <c r="F23438">
        <v>3.5</v>
      </c>
      <c r="G23438">
        <v>3.5</v>
      </c>
      <c r="I23438">
        <v>2</v>
      </c>
      <c r="J23438">
        <v>18</v>
      </c>
      <c r="L23438">
        <v>18</v>
      </c>
      <c r="N23438">
        <v>2</v>
      </c>
      <c r="P23438">
        <v>1</v>
      </c>
      <c r="Q23438">
        <v>1</v>
      </c>
      <c r="S23438">
        <v>0</v>
      </c>
    </row>
    <row r="23439" spans="1:19" x14ac:dyDescent="0.3">
      <c r="A23439" t="str">
        <f t="shared" si="30"/>
        <v>All PCIT-T ProvidersPCIT-T FFDec-24</v>
      </c>
      <c r="B23439" s="171" t="s">
        <v>46355</v>
      </c>
      <c r="C23439" s="171" t="s">
        <v>35161</v>
      </c>
      <c r="D23439" s="171" t="s">
        <v>80</v>
      </c>
      <c r="E23439" s="11">
        <v>45627</v>
      </c>
      <c r="F23439">
        <v>3</v>
      </c>
      <c r="G23439">
        <v>3.5</v>
      </c>
      <c r="I23439">
        <v>2</v>
      </c>
      <c r="J23439">
        <v>16</v>
      </c>
      <c r="L23439">
        <v>18</v>
      </c>
      <c r="N23439">
        <v>2</v>
      </c>
      <c r="P23439">
        <v>0</v>
      </c>
      <c r="Q23439">
        <v>0</v>
      </c>
      <c r="S23439">
        <v>0</v>
      </c>
    </row>
    <row r="23440" spans="1:19" x14ac:dyDescent="0.3">
      <c r="A23440" t="str">
        <f t="shared" si="30"/>
        <v>All PCIT-T ProvidersPCIT-T CombinedDec-24</v>
      </c>
      <c r="B23440" s="171" t="s">
        <v>46356</v>
      </c>
      <c r="C23440" s="171" t="s">
        <v>35161</v>
      </c>
      <c r="D23440" s="171" t="s">
        <v>4</v>
      </c>
      <c r="E23440" s="11">
        <v>45627</v>
      </c>
      <c r="F23440">
        <v>3</v>
      </c>
      <c r="G23440">
        <v>3.5</v>
      </c>
      <c r="I23440">
        <v>2</v>
      </c>
      <c r="J23440">
        <v>16</v>
      </c>
      <c r="L23440">
        <v>18</v>
      </c>
      <c r="N23440">
        <v>2</v>
      </c>
      <c r="P23440">
        <v>0</v>
      </c>
      <c r="Q23440">
        <v>0</v>
      </c>
      <c r="S23440">
        <v>0</v>
      </c>
    </row>
    <row r="23441" spans="1:19" x14ac:dyDescent="0.3">
      <c r="A23441" t="str">
        <f t="shared" si="30"/>
        <v>All SFCR ProvidersSFCR FFDec-24</v>
      </c>
      <c r="B23441" s="171" t="s">
        <v>46357</v>
      </c>
      <c r="C23441" s="171" t="s">
        <v>19659</v>
      </c>
      <c r="D23441" s="171" t="s">
        <v>80</v>
      </c>
      <c r="E23441" s="11">
        <v>45627</v>
      </c>
      <c r="F23441">
        <v>0</v>
      </c>
      <c r="G23441">
        <v>0</v>
      </c>
      <c r="I23441">
        <v>0</v>
      </c>
      <c r="J23441">
        <v>0</v>
      </c>
      <c r="L23441">
        <v>0</v>
      </c>
      <c r="N23441">
        <v>0</v>
      </c>
      <c r="P23441">
        <v>0</v>
      </c>
      <c r="Q23441">
        <v>0</v>
      </c>
      <c r="S23441">
        <v>0</v>
      </c>
    </row>
    <row r="23442" spans="1:19" x14ac:dyDescent="0.3">
      <c r="A23442" t="str">
        <f t="shared" si="30"/>
        <v>All SFCR ProvidersSFCR CombinedDec-24</v>
      </c>
      <c r="B23442" s="171" t="s">
        <v>46358</v>
      </c>
      <c r="C23442" s="171" t="s">
        <v>19659</v>
      </c>
      <c r="D23442" s="171" t="s">
        <v>4</v>
      </c>
      <c r="E23442" s="11">
        <v>45627</v>
      </c>
      <c r="F23442">
        <v>0</v>
      </c>
      <c r="G23442">
        <v>0</v>
      </c>
      <c r="I23442">
        <v>0</v>
      </c>
      <c r="J23442">
        <v>0</v>
      </c>
      <c r="L23442">
        <v>0</v>
      </c>
      <c r="N23442">
        <v>0</v>
      </c>
      <c r="P23442">
        <v>0</v>
      </c>
      <c r="Q23442">
        <v>0</v>
      </c>
      <c r="S23442">
        <v>0</v>
      </c>
    </row>
    <row r="23443" spans="1:19" x14ac:dyDescent="0.3">
      <c r="A23443" t="str">
        <f t="shared" si="30"/>
        <v>All TF-CBT ProvidersTF-CBT FFDec-24</v>
      </c>
      <c r="B23443" s="171" t="s">
        <v>46359</v>
      </c>
      <c r="C23443" s="171" t="s">
        <v>98</v>
      </c>
      <c r="D23443" s="171" t="s">
        <v>80</v>
      </c>
      <c r="E23443" s="11">
        <v>45627</v>
      </c>
      <c r="F23443">
        <v>8</v>
      </c>
      <c r="G23443">
        <v>13</v>
      </c>
      <c r="I23443">
        <v>26</v>
      </c>
      <c r="J23443">
        <v>46</v>
      </c>
      <c r="L23443">
        <v>72</v>
      </c>
      <c r="N23443">
        <v>25</v>
      </c>
      <c r="P23443">
        <v>0</v>
      </c>
      <c r="Q23443">
        <v>0</v>
      </c>
      <c r="S23443">
        <v>1</v>
      </c>
    </row>
    <row r="23444" spans="1:19" x14ac:dyDescent="0.3">
      <c r="A23444" t="str">
        <f t="shared" si="30"/>
        <v>All TF-CBT ProvidersTF-CBT CombinedDec-24</v>
      </c>
      <c r="B23444" s="171" t="s">
        <v>46360</v>
      </c>
      <c r="C23444" s="171" t="s">
        <v>98</v>
      </c>
      <c r="D23444" s="171" t="s">
        <v>4</v>
      </c>
      <c r="E23444" s="11">
        <v>45627</v>
      </c>
      <c r="F23444">
        <v>8</v>
      </c>
      <c r="G23444">
        <v>13</v>
      </c>
      <c r="I23444">
        <v>26</v>
      </c>
      <c r="J23444">
        <v>46</v>
      </c>
      <c r="L23444">
        <v>72</v>
      </c>
      <c r="N23444">
        <v>25</v>
      </c>
      <c r="P23444">
        <v>0</v>
      </c>
      <c r="Q23444">
        <v>0</v>
      </c>
      <c r="S23444">
        <v>1</v>
      </c>
    </row>
    <row r="23445" spans="1:19" x14ac:dyDescent="0.3">
      <c r="A23445" t="str">
        <f t="shared" si="30"/>
        <v>All TIP ProvidersTIP FFDec-24</v>
      </c>
      <c r="B23445" s="171" t="s">
        <v>46361</v>
      </c>
      <c r="C23445" s="171" t="s">
        <v>101</v>
      </c>
      <c r="D23445" s="171" t="s">
        <v>80</v>
      </c>
      <c r="E23445" s="11">
        <v>45627</v>
      </c>
      <c r="F23445">
        <v>25</v>
      </c>
      <c r="G23445">
        <v>28.5</v>
      </c>
      <c r="I23445">
        <v>168</v>
      </c>
      <c r="J23445">
        <v>278</v>
      </c>
      <c r="L23445">
        <v>316</v>
      </c>
      <c r="N23445">
        <v>137</v>
      </c>
      <c r="P23445">
        <v>11</v>
      </c>
      <c r="Q23445">
        <v>14</v>
      </c>
      <c r="S23445">
        <v>31</v>
      </c>
    </row>
    <row r="23446" spans="1:19" x14ac:dyDescent="0.3">
      <c r="A23446" t="str">
        <f t="shared" si="30"/>
        <v>All TIP ProvidersTIP CombinedDec-24</v>
      </c>
      <c r="B23446" s="171" t="s">
        <v>46362</v>
      </c>
      <c r="C23446" s="171" t="s">
        <v>101</v>
      </c>
      <c r="D23446" s="171" t="s">
        <v>4</v>
      </c>
      <c r="E23446" s="11">
        <v>45627</v>
      </c>
      <c r="F23446">
        <v>25</v>
      </c>
      <c r="G23446">
        <v>28.5</v>
      </c>
      <c r="I23446">
        <v>168</v>
      </c>
      <c r="J23446">
        <v>278</v>
      </c>
      <c r="L23446">
        <v>316</v>
      </c>
      <c r="N23446">
        <v>137</v>
      </c>
      <c r="P23446">
        <v>11</v>
      </c>
      <c r="Q23446">
        <v>14</v>
      </c>
      <c r="S23446">
        <v>31</v>
      </c>
    </row>
    <row r="23447" spans="1:19" x14ac:dyDescent="0.3">
      <c r="A23447" t="str">
        <f t="shared" si="30"/>
        <v>All TST ProvidersTST FFDec-24</v>
      </c>
      <c r="B23447" s="171" t="s">
        <v>46363</v>
      </c>
      <c r="C23447" s="171" t="s">
        <v>6843</v>
      </c>
      <c r="D23447" s="171" t="s">
        <v>80</v>
      </c>
      <c r="E23447" s="11">
        <v>45627</v>
      </c>
      <c r="F23447">
        <v>0.5</v>
      </c>
      <c r="G23447">
        <v>2.5</v>
      </c>
      <c r="I23447">
        <v>4</v>
      </c>
      <c r="J23447">
        <v>2</v>
      </c>
      <c r="L23447">
        <v>14</v>
      </c>
      <c r="N23447">
        <v>4</v>
      </c>
      <c r="P23447">
        <v>0</v>
      </c>
      <c r="Q23447">
        <v>0</v>
      </c>
      <c r="S23447">
        <v>0</v>
      </c>
    </row>
    <row r="23448" spans="1:19" x14ac:dyDescent="0.3">
      <c r="A23448" t="str">
        <f t="shared" si="30"/>
        <v>All TST ProvidersTST CombinedDec-24</v>
      </c>
      <c r="B23448" s="171" t="s">
        <v>46364</v>
      </c>
      <c r="C23448" s="171" t="s">
        <v>6843</v>
      </c>
      <c r="D23448" s="171" t="s">
        <v>4</v>
      </c>
      <c r="E23448" s="11">
        <v>45627</v>
      </c>
      <c r="F23448">
        <v>0.5</v>
      </c>
      <c r="G23448">
        <v>2.5</v>
      </c>
      <c r="I23448">
        <v>4</v>
      </c>
      <c r="J23448">
        <v>2</v>
      </c>
      <c r="L23448">
        <v>14</v>
      </c>
      <c r="N23448">
        <v>4</v>
      </c>
      <c r="P23448">
        <v>0</v>
      </c>
      <c r="Q23448">
        <v>0</v>
      </c>
      <c r="S23448">
        <v>0</v>
      </c>
    </row>
    <row r="23449" spans="1:19" x14ac:dyDescent="0.3">
      <c r="A23449" t="str">
        <f t="shared" si="30"/>
        <v>Families First ProvidersAll FFDec-24</v>
      </c>
      <c r="B23449" s="171" t="s">
        <v>46365</v>
      </c>
      <c r="C23449" s="171" t="s">
        <v>12995</v>
      </c>
      <c r="D23449" s="171" t="s">
        <v>80</v>
      </c>
      <c r="E23449" s="11">
        <v>45627</v>
      </c>
      <c r="F23449">
        <v>61.5</v>
      </c>
      <c r="G23449">
        <v>84</v>
      </c>
      <c r="I23449">
        <v>278</v>
      </c>
      <c r="J23449">
        <v>462</v>
      </c>
      <c r="L23449">
        <v>594</v>
      </c>
      <c r="N23449">
        <v>230</v>
      </c>
      <c r="O23449" t="s">
        <v>16361</v>
      </c>
      <c r="P23449">
        <v>23</v>
      </c>
      <c r="Q23449">
        <v>29</v>
      </c>
      <c r="S23449">
        <v>48</v>
      </c>
    </row>
    <row r="23450" spans="1:19" x14ac:dyDescent="0.3">
      <c r="A23450" t="str">
        <f t="shared" si="30"/>
        <v>DC Seed ProvidersAll DCSDec-24</v>
      </c>
      <c r="B23450" s="171" t="s">
        <v>46366</v>
      </c>
      <c r="C23450" s="171" t="s">
        <v>15504</v>
      </c>
      <c r="D23450" s="171" t="s">
        <v>15341</v>
      </c>
      <c r="E23450" s="11">
        <v>45627</v>
      </c>
      <c r="F23450">
        <v>0</v>
      </c>
      <c r="G23450">
        <v>0</v>
      </c>
      <c r="I23450">
        <v>0</v>
      </c>
      <c r="J23450">
        <v>0</v>
      </c>
      <c r="L23450">
        <v>0</v>
      </c>
      <c r="N23450">
        <v>0</v>
      </c>
      <c r="O23450" t="s">
        <v>16361</v>
      </c>
      <c r="P23450">
        <v>0</v>
      </c>
      <c r="Q23450">
        <v>0</v>
      </c>
      <c r="S23450">
        <v>0</v>
      </c>
    </row>
    <row r="23451" spans="1:19" x14ac:dyDescent="0.3">
      <c r="A23451" t="str">
        <f t="shared" si="30"/>
        <v>Trauma ProvidersAll FFDec-24</v>
      </c>
      <c r="B23451" s="171" t="s">
        <v>46367</v>
      </c>
      <c r="C23451" s="171" t="s">
        <v>15511</v>
      </c>
      <c r="D23451" s="171" t="s">
        <v>80</v>
      </c>
      <c r="E23451" s="11">
        <v>45627</v>
      </c>
      <c r="F23451">
        <v>19</v>
      </c>
      <c r="G23451">
        <v>25</v>
      </c>
      <c r="H23451">
        <v>201</v>
      </c>
      <c r="I23451">
        <v>41</v>
      </c>
      <c r="J23451">
        <v>104</v>
      </c>
      <c r="L23451">
        <v>136</v>
      </c>
      <c r="N23451">
        <v>39</v>
      </c>
      <c r="P23451">
        <v>1</v>
      </c>
      <c r="Q23451">
        <v>1</v>
      </c>
      <c r="S23451">
        <v>2</v>
      </c>
    </row>
    <row r="23452" spans="1:19" x14ac:dyDescent="0.3">
      <c r="A23452" t="str">
        <f t="shared" si="30"/>
        <v>Trauma ProvidersAll DCSDec-24</v>
      </c>
      <c r="B23452" s="171" t="s">
        <v>46368</v>
      </c>
      <c r="C23452" s="171" t="s">
        <v>15511</v>
      </c>
      <c r="D23452" s="171" t="s">
        <v>15341</v>
      </c>
      <c r="E23452" s="11">
        <v>45627</v>
      </c>
      <c r="F23452">
        <v>0</v>
      </c>
      <c r="G23452">
        <v>0</v>
      </c>
      <c r="I23452">
        <v>0</v>
      </c>
      <c r="J23452">
        <v>0</v>
      </c>
      <c r="L23452">
        <v>0</v>
      </c>
      <c r="N23452">
        <v>0</v>
      </c>
      <c r="P23452">
        <v>0</v>
      </c>
      <c r="Q23452">
        <v>0</v>
      </c>
      <c r="S23452">
        <v>0</v>
      </c>
    </row>
    <row r="23453" spans="1:19" x14ac:dyDescent="0.3">
      <c r="A23453" t="str">
        <f t="shared" si="30"/>
        <v>Trauma ProvidersAll CombinedDec-24</v>
      </c>
      <c r="B23453" s="171" t="s">
        <v>46369</v>
      </c>
      <c r="C23453" s="171" t="s">
        <v>15511</v>
      </c>
      <c r="D23453" s="171" t="s">
        <v>4</v>
      </c>
      <c r="E23453" s="11">
        <v>45627</v>
      </c>
      <c r="F23453">
        <v>19</v>
      </c>
      <c r="G23453">
        <v>25</v>
      </c>
      <c r="I23453">
        <v>41</v>
      </c>
      <c r="J23453">
        <v>104</v>
      </c>
      <c r="L23453">
        <v>136</v>
      </c>
      <c r="N23453">
        <v>39</v>
      </c>
      <c r="P23453">
        <v>1</v>
      </c>
      <c r="Q23453">
        <v>1</v>
      </c>
      <c r="S23453">
        <v>2</v>
      </c>
    </row>
    <row r="23454" spans="1:19" x14ac:dyDescent="0.3">
      <c r="A23454" t="str">
        <f t="shared" si="30"/>
        <v>AllAll CombinedDec-24</v>
      </c>
      <c r="B23454" s="171" t="s">
        <v>46370</v>
      </c>
      <c r="C23454" s="171" t="s">
        <v>104</v>
      </c>
      <c r="D23454" s="171" t="s">
        <v>4</v>
      </c>
      <c r="E23454" s="11">
        <v>45627</v>
      </c>
      <c r="F23454">
        <v>61.5</v>
      </c>
      <c r="G23454">
        <v>84</v>
      </c>
      <c r="I23454">
        <v>278</v>
      </c>
      <c r="J23454">
        <v>462</v>
      </c>
      <c r="L23454">
        <v>594</v>
      </c>
      <c r="N23454">
        <v>230</v>
      </c>
      <c r="P23454">
        <v>23</v>
      </c>
      <c r="Q23454">
        <v>29</v>
      </c>
      <c r="S23454">
        <v>48</v>
      </c>
    </row>
    <row r="23455" spans="1:19" x14ac:dyDescent="0.3">
      <c r="A23455" t="str">
        <f>C23455&amp;" "&amp;D23455&amp;"Jan-25"</f>
        <v>DBH Parent SupportABC FFJan-25</v>
      </c>
      <c r="B23455" s="171" t="s">
        <v>46371</v>
      </c>
      <c r="C23455" s="171" t="s">
        <v>34754</v>
      </c>
      <c r="D23455" s="171" t="s">
        <v>80</v>
      </c>
      <c r="E23455" s="11">
        <v>45658</v>
      </c>
      <c r="F23455">
        <v>0</v>
      </c>
      <c r="G23455">
        <v>0</v>
      </c>
      <c r="I23455">
        <v>0</v>
      </c>
      <c r="J23455">
        <v>0</v>
      </c>
      <c r="L23455">
        <v>0</v>
      </c>
      <c r="N23455">
        <v>0</v>
      </c>
      <c r="P23455">
        <v>0</v>
      </c>
      <c r="Q23455">
        <v>0</v>
      </c>
      <c r="S23455">
        <v>0</v>
      </c>
    </row>
    <row r="23456" spans="1:19" x14ac:dyDescent="0.3">
      <c r="A23456" t="str">
        <f t="shared" ref="A23456:A23519" si="31">C23456&amp;" "&amp;D23456&amp;"Jan-25"</f>
        <v>Healthy FuturesABC FFJan-25</v>
      </c>
      <c r="B23456" s="171" t="s">
        <v>46372</v>
      </c>
      <c r="C23456" s="171" t="s">
        <v>34757</v>
      </c>
      <c r="D23456" s="171" t="s">
        <v>80</v>
      </c>
      <c r="E23456" s="11">
        <v>45658</v>
      </c>
      <c r="F23456">
        <v>0</v>
      </c>
      <c r="G23456">
        <v>0</v>
      </c>
      <c r="I23456">
        <v>0</v>
      </c>
      <c r="J23456">
        <v>0</v>
      </c>
      <c r="L23456">
        <v>0</v>
      </c>
      <c r="N23456">
        <v>0</v>
      </c>
      <c r="P23456">
        <v>0</v>
      </c>
      <c r="Q23456">
        <v>0</v>
      </c>
      <c r="S23456">
        <v>0</v>
      </c>
    </row>
    <row r="23457" spans="1:19" x14ac:dyDescent="0.3">
      <c r="A23457" t="str">
        <f t="shared" si="31"/>
        <v>Marys CenterABC FFJan-25</v>
      </c>
      <c r="B23457" s="171" t="s">
        <v>46373</v>
      </c>
      <c r="C23457" s="171" t="s">
        <v>34760</v>
      </c>
      <c r="D23457" s="171" t="s">
        <v>80</v>
      </c>
      <c r="E23457" s="11">
        <v>45658</v>
      </c>
      <c r="F23457">
        <v>0</v>
      </c>
      <c r="G23457">
        <v>0</v>
      </c>
      <c r="I23457">
        <v>0</v>
      </c>
      <c r="J23457">
        <v>0</v>
      </c>
      <c r="L23457">
        <v>0</v>
      </c>
      <c r="N23457">
        <v>0</v>
      </c>
      <c r="P23457">
        <v>0</v>
      </c>
      <c r="Q23457">
        <v>0</v>
      </c>
      <c r="S23457">
        <v>0</v>
      </c>
    </row>
    <row r="23458" spans="1:19" x14ac:dyDescent="0.3">
      <c r="A23458" t="str">
        <f t="shared" si="31"/>
        <v>Medstar GeorgetownABC FFJan-25</v>
      </c>
      <c r="B23458" s="171" t="s">
        <v>46374</v>
      </c>
      <c r="C23458" s="171" t="s">
        <v>34763</v>
      </c>
      <c r="D23458" s="171" t="s">
        <v>80</v>
      </c>
      <c r="E23458" s="11">
        <v>45658</v>
      </c>
      <c r="F23458">
        <v>0</v>
      </c>
      <c r="G23458">
        <v>0</v>
      </c>
      <c r="I23458">
        <v>0</v>
      </c>
      <c r="J23458">
        <v>0</v>
      </c>
      <c r="L23458">
        <v>0</v>
      </c>
      <c r="N23458">
        <v>0</v>
      </c>
      <c r="P23458">
        <v>0</v>
      </c>
      <c r="Q23458">
        <v>0</v>
      </c>
      <c r="S23458">
        <v>0</v>
      </c>
    </row>
    <row r="23459" spans="1:19" x14ac:dyDescent="0.3">
      <c r="A23459" t="str">
        <f t="shared" si="31"/>
        <v>PIECEABC FFJan-25</v>
      </c>
      <c r="B23459" s="171" t="s">
        <v>46375</v>
      </c>
      <c r="C23459" s="171" t="s">
        <v>34766</v>
      </c>
      <c r="D23459" s="171" t="s">
        <v>80</v>
      </c>
      <c r="E23459" s="11">
        <v>45658</v>
      </c>
      <c r="F23459">
        <v>0</v>
      </c>
      <c r="G23459">
        <v>0</v>
      </c>
      <c r="I23459">
        <v>0</v>
      </c>
      <c r="J23459">
        <v>0</v>
      </c>
      <c r="L23459">
        <v>0</v>
      </c>
      <c r="N23459">
        <v>0</v>
      </c>
      <c r="P23459">
        <v>0</v>
      </c>
      <c r="Q23459">
        <v>0</v>
      </c>
      <c r="S23459">
        <v>0</v>
      </c>
    </row>
    <row r="23460" spans="1:19" x14ac:dyDescent="0.3">
      <c r="A23460" t="str">
        <f t="shared" si="31"/>
        <v>Federal CityA-CRA FFJan-25</v>
      </c>
      <c r="B23460" s="171" t="s">
        <v>46376</v>
      </c>
      <c r="C23460" s="171" t="s">
        <v>119</v>
      </c>
      <c r="D23460" s="171" t="s">
        <v>80</v>
      </c>
      <c r="E23460" s="11">
        <v>45658</v>
      </c>
      <c r="F23460">
        <v>0</v>
      </c>
      <c r="G23460">
        <v>0</v>
      </c>
      <c r="I23460">
        <v>0</v>
      </c>
      <c r="J23460">
        <v>0</v>
      </c>
      <c r="L23460">
        <v>0</v>
      </c>
      <c r="N23460">
        <v>0</v>
      </c>
      <c r="P23460">
        <v>0</v>
      </c>
      <c r="Q23460">
        <v>0</v>
      </c>
      <c r="S23460">
        <v>0</v>
      </c>
    </row>
    <row r="23461" spans="1:19" x14ac:dyDescent="0.3">
      <c r="A23461" t="str">
        <f t="shared" si="31"/>
        <v>HillcrestA-CRA FFJan-25</v>
      </c>
      <c r="B23461" s="171" t="s">
        <v>46377</v>
      </c>
      <c r="C23461" s="171" t="s">
        <v>143</v>
      </c>
      <c r="D23461" s="171" t="s">
        <v>80</v>
      </c>
      <c r="E23461" s="11">
        <v>45658</v>
      </c>
      <c r="F23461">
        <v>0</v>
      </c>
      <c r="G23461">
        <v>0</v>
      </c>
      <c r="I23461">
        <v>0</v>
      </c>
      <c r="J23461">
        <v>0</v>
      </c>
      <c r="L23461">
        <v>0</v>
      </c>
      <c r="N23461">
        <v>0</v>
      </c>
      <c r="P23461">
        <v>0</v>
      </c>
      <c r="Q23461">
        <v>0</v>
      </c>
      <c r="S23461">
        <v>0</v>
      </c>
    </row>
    <row r="23462" spans="1:19" x14ac:dyDescent="0.3">
      <c r="A23462" t="str">
        <f t="shared" si="31"/>
        <v>LAYCA-CRA FFJan-25</v>
      </c>
      <c r="B23462" s="171" t="s">
        <v>46378</v>
      </c>
      <c r="C23462" s="171" t="s">
        <v>158</v>
      </c>
      <c r="D23462" s="171" t="s">
        <v>80</v>
      </c>
      <c r="E23462" s="11">
        <v>45658</v>
      </c>
      <c r="F23462">
        <v>0</v>
      </c>
      <c r="G23462">
        <v>0</v>
      </c>
      <c r="I23462">
        <v>0</v>
      </c>
      <c r="J23462">
        <v>0</v>
      </c>
      <c r="L23462">
        <v>0</v>
      </c>
      <c r="N23462">
        <v>0</v>
      </c>
      <c r="P23462">
        <v>0</v>
      </c>
      <c r="Q23462">
        <v>0</v>
      </c>
      <c r="S23462">
        <v>0</v>
      </c>
    </row>
    <row r="23463" spans="1:19" x14ac:dyDescent="0.3">
      <c r="A23463" t="str">
        <f t="shared" si="31"/>
        <v>RiversideA-CRA FFJan-25</v>
      </c>
      <c r="B23463" s="171" t="s">
        <v>46379</v>
      </c>
      <c r="C23463" s="171" t="s">
        <v>209</v>
      </c>
      <c r="D23463" s="171" t="s">
        <v>80</v>
      </c>
      <c r="E23463" s="11">
        <v>45658</v>
      </c>
      <c r="F23463">
        <v>0</v>
      </c>
      <c r="G23463">
        <v>0</v>
      </c>
      <c r="I23463">
        <v>0</v>
      </c>
      <c r="J23463">
        <v>0</v>
      </c>
      <c r="L23463">
        <v>0</v>
      </c>
      <c r="N23463">
        <v>0</v>
      </c>
      <c r="P23463">
        <v>0</v>
      </c>
      <c r="Q23463">
        <v>0</v>
      </c>
      <c r="S23463">
        <v>0</v>
      </c>
    </row>
    <row r="23464" spans="1:19" x14ac:dyDescent="0.3">
      <c r="A23464" t="str">
        <f t="shared" si="31"/>
        <v>Adoptions TogetherCPP-FV FFJan-25</v>
      </c>
      <c r="B23464" s="171" t="s">
        <v>46380</v>
      </c>
      <c r="C23464" s="171" t="s">
        <v>76</v>
      </c>
      <c r="D23464" s="171" t="s">
        <v>80</v>
      </c>
      <c r="E23464" s="11">
        <v>45658</v>
      </c>
      <c r="F23464">
        <v>0</v>
      </c>
      <c r="G23464">
        <v>0</v>
      </c>
      <c r="I23464">
        <v>0</v>
      </c>
      <c r="J23464">
        <v>0</v>
      </c>
      <c r="L23464">
        <v>0</v>
      </c>
      <c r="N23464">
        <v>0</v>
      </c>
      <c r="P23464">
        <v>0</v>
      </c>
      <c r="Q23464">
        <v>0</v>
      </c>
      <c r="S23464">
        <v>0</v>
      </c>
    </row>
    <row r="23465" spans="1:19" x14ac:dyDescent="0.3">
      <c r="A23465" t="str">
        <f t="shared" si="31"/>
        <v>Community ConnectionsCPP-FV DCSJan-25</v>
      </c>
      <c r="B23465" s="171" t="s">
        <v>46381</v>
      </c>
      <c r="C23465" s="171" t="s">
        <v>15340</v>
      </c>
      <c r="D23465" s="171" t="s">
        <v>15341</v>
      </c>
      <c r="E23465" s="11">
        <v>45658</v>
      </c>
      <c r="F23465">
        <v>0</v>
      </c>
      <c r="G23465">
        <v>0</v>
      </c>
      <c r="I23465">
        <v>0</v>
      </c>
      <c r="J23465">
        <v>0</v>
      </c>
      <c r="L23465">
        <v>0</v>
      </c>
      <c r="N23465">
        <v>0</v>
      </c>
      <c r="P23465">
        <v>0</v>
      </c>
      <c r="Q23465">
        <v>0</v>
      </c>
      <c r="S23465">
        <v>0</v>
      </c>
    </row>
    <row r="23466" spans="1:19" x14ac:dyDescent="0.3">
      <c r="A23466" t="str">
        <f t="shared" si="31"/>
        <v>Community ConnectionsCPP-FV FFJan-25</v>
      </c>
      <c r="B23466" s="171" t="s">
        <v>46382</v>
      </c>
      <c r="C23466" s="171" t="s">
        <v>15340</v>
      </c>
      <c r="D23466" s="171" t="s">
        <v>80</v>
      </c>
      <c r="E23466" s="11">
        <v>45658</v>
      </c>
      <c r="F23466">
        <v>0</v>
      </c>
      <c r="G23466">
        <v>0</v>
      </c>
      <c r="I23466">
        <v>0</v>
      </c>
      <c r="J23466">
        <v>0</v>
      </c>
      <c r="L23466">
        <v>0</v>
      </c>
      <c r="N23466">
        <v>0</v>
      </c>
      <c r="P23466">
        <v>0</v>
      </c>
      <c r="Q23466">
        <v>0</v>
      </c>
      <c r="S23466">
        <v>0</v>
      </c>
    </row>
    <row r="23467" spans="1:19" x14ac:dyDescent="0.3">
      <c r="A23467" t="str">
        <f t="shared" si="31"/>
        <v>Foundations for Home &amp; CommunityCPP-FV DCSJan-25</v>
      </c>
      <c r="B23467" s="171" t="s">
        <v>46383</v>
      </c>
      <c r="C23467" s="171" t="s">
        <v>15344</v>
      </c>
      <c r="D23467" s="171" t="s">
        <v>15341</v>
      </c>
      <c r="E23467" s="11">
        <v>45658</v>
      </c>
      <c r="F23467">
        <v>0</v>
      </c>
      <c r="G23467">
        <v>0</v>
      </c>
      <c r="I23467">
        <v>0</v>
      </c>
      <c r="J23467">
        <v>0</v>
      </c>
      <c r="L23467">
        <v>0</v>
      </c>
      <c r="N23467">
        <v>0</v>
      </c>
      <c r="P23467">
        <v>0</v>
      </c>
      <c r="Q23467">
        <v>0</v>
      </c>
      <c r="S23467">
        <v>0</v>
      </c>
    </row>
    <row r="23468" spans="1:19" x14ac:dyDescent="0.3">
      <c r="A23468" t="str">
        <f t="shared" si="31"/>
        <v>Marys CenterCPP-FV DCSJan-25</v>
      </c>
      <c r="B23468" s="171" t="s">
        <v>46384</v>
      </c>
      <c r="C23468" s="171" t="s">
        <v>15347</v>
      </c>
      <c r="D23468" s="171" t="s">
        <v>15341</v>
      </c>
      <c r="E23468" s="11">
        <v>45658</v>
      </c>
      <c r="F23468">
        <v>0</v>
      </c>
      <c r="G23468">
        <v>0</v>
      </c>
      <c r="I23468">
        <v>0</v>
      </c>
      <c r="J23468">
        <v>0</v>
      </c>
      <c r="L23468">
        <v>0</v>
      </c>
      <c r="N23468">
        <v>0</v>
      </c>
      <c r="P23468">
        <v>0</v>
      </c>
      <c r="Q23468">
        <v>0</v>
      </c>
      <c r="S23468">
        <v>0</v>
      </c>
    </row>
    <row r="23469" spans="1:19" x14ac:dyDescent="0.3">
      <c r="A23469" t="str">
        <f t="shared" si="31"/>
        <v>Marys CenterCPP-FV FFJan-25</v>
      </c>
      <c r="B23469" s="171" t="s">
        <v>46385</v>
      </c>
      <c r="C23469" s="171" t="s">
        <v>15347</v>
      </c>
      <c r="D23469" s="171" t="s">
        <v>80</v>
      </c>
      <c r="E23469" s="11">
        <v>45658</v>
      </c>
      <c r="F23469">
        <v>1.5</v>
      </c>
      <c r="G23469">
        <v>2.5</v>
      </c>
      <c r="I23469">
        <v>7</v>
      </c>
      <c r="J23469">
        <v>9</v>
      </c>
      <c r="L23469">
        <v>15</v>
      </c>
      <c r="N23469">
        <v>7</v>
      </c>
      <c r="P23469">
        <v>0</v>
      </c>
      <c r="Q23469">
        <v>0</v>
      </c>
      <c r="S23469">
        <v>0</v>
      </c>
    </row>
    <row r="23470" spans="1:19" x14ac:dyDescent="0.3">
      <c r="A23470" t="str">
        <f t="shared" si="31"/>
        <v>PIECECPP-FV DCSJan-25</v>
      </c>
      <c r="B23470" s="171" t="s">
        <v>46386</v>
      </c>
      <c r="C23470" s="171" t="s">
        <v>203</v>
      </c>
      <c r="D23470" s="171" t="s">
        <v>15341</v>
      </c>
      <c r="E23470" s="11">
        <v>45658</v>
      </c>
      <c r="F23470">
        <v>0</v>
      </c>
      <c r="G23470">
        <v>0</v>
      </c>
      <c r="I23470">
        <v>0</v>
      </c>
      <c r="J23470">
        <v>0</v>
      </c>
      <c r="L23470">
        <v>0</v>
      </c>
      <c r="N23470">
        <v>0</v>
      </c>
      <c r="P23470">
        <v>0</v>
      </c>
      <c r="Q23470">
        <v>0</v>
      </c>
      <c r="S23470">
        <v>0</v>
      </c>
    </row>
    <row r="23471" spans="1:19" x14ac:dyDescent="0.3">
      <c r="A23471" t="str">
        <f t="shared" si="31"/>
        <v>PIECECPP-FV FFJan-25</v>
      </c>
      <c r="B23471" s="171" t="s">
        <v>46387</v>
      </c>
      <c r="C23471" s="171" t="s">
        <v>203</v>
      </c>
      <c r="D23471" s="171" t="s">
        <v>80</v>
      </c>
      <c r="E23471" s="11">
        <v>45658</v>
      </c>
      <c r="F23471">
        <v>3</v>
      </c>
      <c r="G23471">
        <v>2.5</v>
      </c>
      <c r="I23471">
        <v>4</v>
      </c>
      <c r="J23471">
        <v>15</v>
      </c>
      <c r="L23471">
        <v>13</v>
      </c>
      <c r="N23471">
        <v>4</v>
      </c>
      <c r="P23471">
        <v>0</v>
      </c>
      <c r="Q23471">
        <v>0</v>
      </c>
      <c r="S23471">
        <v>0</v>
      </c>
    </row>
    <row r="23472" spans="1:19" x14ac:dyDescent="0.3">
      <c r="A23472" t="str">
        <f t="shared" si="31"/>
        <v>Medstar GeorgetownCPP-FV DCSJan-25</v>
      </c>
      <c r="B23472" s="171" t="s">
        <v>46388</v>
      </c>
      <c r="C23472" s="171" t="s">
        <v>24281</v>
      </c>
      <c r="D23472" s="171" t="s">
        <v>15341</v>
      </c>
      <c r="E23472" s="11">
        <v>45658</v>
      </c>
      <c r="F23472">
        <v>0</v>
      </c>
      <c r="G23472">
        <v>0</v>
      </c>
      <c r="I23472">
        <v>0</v>
      </c>
      <c r="J23472">
        <v>0</v>
      </c>
      <c r="L23472">
        <v>0</v>
      </c>
      <c r="N23472">
        <v>0</v>
      </c>
      <c r="P23472">
        <v>0</v>
      </c>
      <c r="Q23472">
        <v>0</v>
      </c>
      <c r="S23472">
        <v>0</v>
      </c>
    </row>
    <row r="23473" spans="1:19" x14ac:dyDescent="0.3">
      <c r="A23473" t="str">
        <f t="shared" si="31"/>
        <v>Medstar GeorgetownCPP-FV FFJan-25</v>
      </c>
      <c r="B23473" s="171" t="s">
        <v>46389</v>
      </c>
      <c r="C23473" s="171" t="s">
        <v>24281</v>
      </c>
      <c r="D23473" s="171" t="s">
        <v>80</v>
      </c>
      <c r="E23473" s="11">
        <v>45658</v>
      </c>
      <c r="F23473">
        <v>0</v>
      </c>
      <c r="G23473">
        <v>0</v>
      </c>
      <c r="I23473">
        <v>0</v>
      </c>
      <c r="J23473">
        <v>0</v>
      </c>
      <c r="L23473">
        <v>0</v>
      </c>
      <c r="N23473">
        <v>0</v>
      </c>
      <c r="P23473">
        <v>0</v>
      </c>
      <c r="Q23473">
        <v>0</v>
      </c>
      <c r="S23473">
        <v>0</v>
      </c>
    </row>
    <row r="23474" spans="1:19" x14ac:dyDescent="0.3">
      <c r="A23474" t="str">
        <f t="shared" si="31"/>
        <v>Better MorningsFFT FFJan-25</v>
      </c>
      <c r="B23474" s="171" t="s">
        <v>46390</v>
      </c>
      <c r="C23474" s="171" t="s">
        <v>24284</v>
      </c>
      <c r="D23474" s="171" t="s">
        <v>80</v>
      </c>
      <c r="E23474" s="11">
        <v>45658</v>
      </c>
      <c r="F23474">
        <v>3</v>
      </c>
      <c r="G23474">
        <v>3</v>
      </c>
      <c r="I23474">
        <v>8</v>
      </c>
      <c r="J23474">
        <v>17</v>
      </c>
      <c r="L23474">
        <v>17</v>
      </c>
      <c r="N23474">
        <v>6</v>
      </c>
      <c r="P23474">
        <v>0</v>
      </c>
      <c r="Q23474">
        <v>0</v>
      </c>
      <c r="S23474">
        <v>2</v>
      </c>
    </row>
    <row r="23475" spans="1:19" x14ac:dyDescent="0.3">
      <c r="A23475" t="str">
        <f t="shared" si="31"/>
        <v>CatholicFFT FFJan-25</v>
      </c>
      <c r="B23475" s="171" t="s">
        <v>46391</v>
      </c>
      <c r="C23475" s="171" t="s">
        <v>18126</v>
      </c>
      <c r="D23475" s="171" t="s">
        <v>80</v>
      </c>
      <c r="E23475" s="11">
        <v>45658</v>
      </c>
      <c r="F23475">
        <v>0</v>
      </c>
      <c r="G23475">
        <v>0</v>
      </c>
      <c r="I23475">
        <v>0</v>
      </c>
      <c r="J23475">
        <v>0</v>
      </c>
      <c r="L23475">
        <v>0</v>
      </c>
      <c r="N23475">
        <v>0</v>
      </c>
      <c r="P23475">
        <v>0</v>
      </c>
      <c r="Q23475">
        <v>0</v>
      </c>
      <c r="S23475">
        <v>0</v>
      </c>
    </row>
    <row r="23476" spans="1:19" x14ac:dyDescent="0.3">
      <c r="A23476" t="str">
        <f t="shared" si="31"/>
        <v>First Home CareFFT FFJan-25</v>
      </c>
      <c r="B23476" s="171" t="s">
        <v>46392</v>
      </c>
      <c r="C23476" s="171" t="s">
        <v>128</v>
      </c>
      <c r="D23476" s="171" t="s">
        <v>80</v>
      </c>
      <c r="E23476" s="11">
        <v>45658</v>
      </c>
      <c r="F23476">
        <v>0</v>
      </c>
      <c r="G23476">
        <v>0</v>
      </c>
      <c r="I23476">
        <v>0</v>
      </c>
      <c r="J23476">
        <v>0</v>
      </c>
      <c r="L23476">
        <v>0</v>
      </c>
      <c r="N23476">
        <v>0</v>
      </c>
      <c r="P23476">
        <v>0</v>
      </c>
      <c r="Q23476">
        <v>0</v>
      </c>
      <c r="S23476">
        <v>0</v>
      </c>
    </row>
    <row r="23477" spans="1:19" x14ac:dyDescent="0.3">
      <c r="A23477" t="str">
        <f t="shared" si="31"/>
        <v>Foundations for Home &amp; CommunityFFT FFJan-25</v>
      </c>
      <c r="B23477" s="171" t="s">
        <v>46393</v>
      </c>
      <c r="C23477" s="171" t="s">
        <v>14824</v>
      </c>
      <c r="D23477" s="171" t="s">
        <v>80</v>
      </c>
      <c r="E23477" s="11">
        <v>45658</v>
      </c>
      <c r="F23477">
        <v>0</v>
      </c>
      <c r="G23477">
        <v>0</v>
      </c>
      <c r="I23477">
        <v>0</v>
      </c>
      <c r="J23477">
        <v>0</v>
      </c>
      <c r="L23477">
        <v>0</v>
      </c>
      <c r="N23477">
        <v>0</v>
      </c>
      <c r="P23477">
        <v>0</v>
      </c>
      <c r="Q23477">
        <v>0</v>
      </c>
      <c r="S23477">
        <v>0</v>
      </c>
    </row>
    <row r="23478" spans="1:19" x14ac:dyDescent="0.3">
      <c r="A23478" t="str">
        <f t="shared" si="31"/>
        <v>HillcrestFFT FFJan-25</v>
      </c>
      <c r="B23478" s="171" t="s">
        <v>46394</v>
      </c>
      <c r="C23478" s="171" t="s">
        <v>152</v>
      </c>
      <c r="D23478" s="171" t="s">
        <v>80</v>
      </c>
      <c r="E23478" s="11">
        <v>45658</v>
      </c>
      <c r="F23478">
        <v>0</v>
      </c>
      <c r="G23478">
        <v>0</v>
      </c>
      <c r="I23478">
        <v>0</v>
      </c>
      <c r="J23478">
        <v>0</v>
      </c>
      <c r="L23478">
        <v>0</v>
      </c>
      <c r="N23478">
        <v>0</v>
      </c>
      <c r="P23478">
        <v>0</v>
      </c>
      <c r="Q23478">
        <v>0</v>
      </c>
      <c r="S23478">
        <v>0</v>
      </c>
    </row>
    <row r="23479" spans="1:19" x14ac:dyDescent="0.3">
      <c r="A23479" t="str">
        <f t="shared" si="31"/>
        <v>PASSFFT FFJan-25</v>
      </c>
      <c r="B23479" s="171" t="s">
        <v>46395</v>
      </c>
      <c r="C23479" s="171" t="s">
        <v>194</v>
      </c>
      <c r="D23479" s="171" t="s">
        <v>80</v>
      </c>
      <c r="E23479" s="11">
        <v>45658</v>
      </c>
      <c r="F23479">
        <v>2</v>
      </c>
      <c r="G23479">
        <v>5</v>
      </c>
      <c r="I23479">
        <v>14</v>
      </c>
      <c r="J23479">
        <v>12</v>
      </c>
      <c r="L23479">
        <v>27</v>
      </c>
      <c r="N23479">
        <v>13</v>
      </c>
      <c r="P23479">
        <v>0</v>
      </c>
      <c r="Q23479">
        <v>0</v>
      </c>
      <c r="S23479">
        <v>1</v>
      </c>
    </row>
    <row r="23480" spans="1:19" x14ac:dyDescent="0.3">
      <c r="A23480" t="str">
        <f t="shared" si="31"/>
        <v>Better MorningsIHCBS FFJan-25</v>
      </c>
      <c r="B23480" s="171" t="s">
        <v>46396</v>
      </c>
      <c r="C23480" s="171" t="s">
        <v>39930</v>
      </c>
      <c r="D23480" s="171" t="s">
        <v>80</v>
      </c>
      <c r="E23480" s="11">
        <v>45658</v>
      </c>
      <c r="F23480">
        <v>4</v>
      </c>
      <c r="G23480">
        <v>4</v>
      </c>
      <c r="I23480">
        <v>18</v>
      </c>
      <c r="J23480">
        <v>16</v>
      </c>
      <c r="L23480">
        <v>16</v>
      </c>
      <c r="N23480">
        <v>13</v>
      </c>
      <c r="P23480">
        <v>4</v>
      </c>
      <c r="Q23480">
        <v>4</v>
      </c>
      <c r="S23480">
        <v>5</v>
      </c>
    </row>
    <row r="23481" spans="1:19" x14ac:dyDescent="0.3">
      <c r="A23481" t="str">
        <f t="shared" si="31"/>
        <v>HillcrestIHCBS FFJan-25</v>
      </c>
      <c r="B23481" s="171" t="s">
        <v>46397</v>
      </c>
      <c r="C23481" s="171" t="s">
        <v>39933</v>
      </c>
      <c r="D23481" s="171" t="s">
        <v>80</v>
      </c>
      <c r="E23481" s="11">
        <v>45658</v>
      </c>
      <c r="F23481">
        <v>3</v>
      </c>
      <c r="G23481">
        <v>4</v>
      </c>
      <c r="I23481">
        <v>15</v>
      </c>
      <c r="J23481">
        <v>12</v>
      </c>
      <c r="L23481">
        <v>16</v>
      </c>
      <c r="N23481">
        <v>15</v>
      </c>
      <c r="P23481">
        <v>1</v>
      </c>
      <c r="Q23481">
        <v>3</v>
      </c>
      <c r="S23481">
        <v>0</v>
      </c>
    </row>
    <row r="23482" spans="1:19" x14ac:dyDescent="0.3">
      <c r="A23482" t="str">
        <f t="shared" si="31"/>
        <v>LESIHCBS FFJan-25</v>
      </c>
      <c r="B23482" s="171" t="s">
        <v>46398</v>
      </c>
      <c r="C23482" s="171" t="s">
        <v>39936</v>
      </c>
      <c r="D23482" s="171" t="s">
        <v>80</v>
      </c>
      <c r="E23482" s="11">
        <v>45658</v>
      </c>
      <c r="F23482">
        <v>0</v>
      </c>
      <c r="G23482">
        <v>0</v>
      </c>
      <c r="I23482">
        <v>0</v>
      </c>
      <c r="J23482">
        <v>0</v>
      </c>
      <c r="L23482">
        <v>0</v>
      </c>
      <c r="N23482">
        <v>0</v>
      </c>
      <c r="P23482">
        <v>0</v>
      </c>
      <c r="Q23482">
        <v>0</v>
      </c>
      <c r="S23482">
        <v>0</v>
      </c>
    </row>
    <row r="23483" spans="1:19" x14ac:dyDescent="0.3">
      <c r="A23483" t="str">
        <f t="shared" si="31"/>
        <v>MBI HSIHCBS FFJan-25</v>
      </c>
      <c r="B23483" s="171" t="s">
        <v>46399</v>
      </c>
      <c r="C23483" s="171" t="s">
        <v>39939</v>
      </c>
      <c r="D23483" s="171" t="s">
        <v>80</v>
      </c>
      <c r="E23483" s="11">
        <v>45658</v>
      </c>
      <c r="F23483">
        <v>2</v>
      </c>
      <c r="G23483">
        <v>2</v>
      </c>
      <c r="I23483">
        <v>5</v>
      </c>
      <c r="J23483">
        <v>8</v>
      </c>
      <c r="L23483">
        <v>8</v>
      </c>
      <c r="N23483">
        <v>5</v>
      </c>
      <c r="P23483">
        <v>1</v>
      </c>
      <c r="Q23483">
        <v>2</v>
      </c>
      <c r="S23483">
        <v>0</v>
      </c>
    </row>
    <row r="23484" spans="1:19" x14ac:dyDescent="0.3">
      <c r="A23484" t="str">
        <f t="shared" si="31"/>
        <v>MD Family ResourcesIHCBS FFJan-25</v>
      </c>
      <c r="B23484" s="171" t="s">
        <v>46400</v>
      </c>
      <c r="C23484" s="171" t="s">
        <v>39942</v>
      </c>
      <c r="D23484" s="171" t="s">
        <v>80</v>
      </c>
      <c r="E23484" s="11">
        <v>45658</v>
      </c>
      <c r="F23484">
        <v>0</v>
      </c>
      <c r="G23484">
        <v>4</v>
      </c>
      <c r="I23484">
        <v>0</v>
      </c>
      <c r="J23484">
        <v>0</v>
      </c>
      <c r="L23484">
        <v>16</v>
      </c>
      <c r="N23484">
        <v>0</v>
      </c>
      <c r="P23484">
        <v>0</v>
      </c>
      <c r="Q23484">
        <v>0</v>
      </c>
      <c r="S23484">
        <v>0</v>
      </c>
    </row>
    <row r="23485" spans="1:19" x14ac:dyDescent="0.3">
      <c r="A23485" t="str">
        <f t="shared" si="31"/>
        <v>UmbrellaIHCBS FFJan-25</v>
      </c>
      <c r="B23485" s="171" t="s">
        <v>46401</v>
      </c>
      <c r="C23485" s="171" t="s">
        <v>45944</v>
      </c>
      <c r="D23485" s="171" t="s">
        <v>80</v>
      </c>
      <c r="E23485" s="11">
        <v>45658</v>
      </c>
      <c r="F23485">
        <v>2</v>
      </c>
      <c r="G23485">
        <v>2</v>
      </c>
      <c r="I23485">
        <v>2</v>
      </c>
      <c r="J23485">
        <v>8</v>
      </c>
      <c r="L23485">
        <v>8</v>
      </c>
      <c r="N23485">
        <v>1</v>
      </c>
      <c r="P23485">
        <v>0</v>
      </c>
      <c r="Q23485">
        <v>0</v>
      </c>
      <c r="S23485">
        <v>1</v>
      </c>
    </row>
    <row r="23486" spans="1:19" x14ac:dyDescent="0.3">
      <c r="A23486" t="str">
        <f t="shared" si="31"/>
        <v>LCSMST FFJan-25</v>
      </c>
      <c r="B23486" s="171" t="s">
        <v>46402</v>
      </c>
      <c r="C23486" s="171" t="s">
        <v>18137</v>
      </c>
      <c r="D23486" s="171" t="s">
        <v>80</v>
      </c>
      <c r="E23486" s="11">
        <v>45658</v>
      </c>
      <c r="F23486">
        <v>0</v>
      </c>
      <c r="G23486">
        <v>0</v>
      </c>
      <c r="I23486">
        <v>0</v>
      </c>
      <c r="J23486">
        <v>0</v>
      </c>
      <c r="L23486">
        <v>0</v>
      </c>
      <c r="N23486">
        <v>0</v>
      </c>
      <c r="P23486">
        <v>0</v>
      </c>
      <c r="Q23486">
        <v>0</v>
      </c>
      <c r="S23486">
        <v>0</v>
      </c>
    </row>
    <row r="23487" spans="1:19" x14ac:dyDescent="0.3">
      <c r="A23487" t="str">
        <f t="shared" si="31"/>
        <v>MBI HSMST FFJan-25</v>
      </c>
      <c r="B23487" s="171" t="s">
        <v>46403</v>
      </c>
      <c r="C23487" s="171" t="s">
        <v>18140</v>
      </c>
      <c r="D23487" s="171" t="s">
        <v>80</v>
      </c>
      <c r="E23487" s="11">
        <v>45658</v>
      </c>
      <c r="F23487">
        <v>1</v>
      </c>
      <c r="G23487">
        <v>4</v>
      </c>
      <c r="I23487">
        <v>3</v>
      </c>
      <c r="J23487">
        <v>5</v>
      </c>
      <c r="L23487">
        <v>20</v>
      </c>
      <c r="N23487">
        <v>1</v>
      </c>
      <c r="P23487">
        <v>3</v>
      </c>
      <c r="Q23487">
        <v>3</v>
      </c>
      <c r="S23487">
        <v>2</v>
      </c>
    </row>
    <row r="23488" spans="1:19" x14ac:dyDescent="0.3">
      <c r="A23488" t="str">
        <f t="shared" si="31"/>
        <v>Youth VillagesMST FFJan-25</v>
      </c>
      <c r="B23488" s="171" t="s">
        <v>46404</v>
      </c>
      <c r="C23488" s="171" t="s">
        <v>236</v>
      </c>
      <c r="D23488" s="171" t="s">
        <v>80</v>
      </c>
      <c r="E23488" s="11">
        <v>45658</v>
      </c>
      <c r="F23488">
        <v>0</v>
      </c>
      <c r="G23488">
        <v>0</v>
      </c>
      <c r="I23488">
        <v>0</v>
      </c>
      <c r="J23488">
        <v>0</v>
      </c>
      <c r="L23488">
        <v>0</v>
      </c>
      <c r="N23488">
        <v>0</v>
      </c>
      <c r="P23488">
        <v>0</v>
      </c>
      <c r="Q23488">
        <v>0</v>
      </c>
      <c r="S23488">
        <v>0</v>
      </c>
    </row>
    <row r="23489" spans="1:19" x14ac:dyDescent="0.3">
      <c r="A23489" t="str">
        <f t="shared" si="31"/>
        <v>Youth VillagesMST-PSB FFJan-25</v>
      </c>
      <c r="B23489" s="171" t="s">
        <v>46405</v>
      </c>
      <c r="C23489" s="171" t="s">
        <v>239</v>
      </c>
      <c r="D23489" s="171" t="s">
        <v>80</v>
      </c>
      <c r="E23489" s="11">
        <v>45658</v>
      </c>
      <c r="F23489">
        <v>0</v>
      </c>
      <c r="G23489">
        <v>0</v>
      </c>
      <c r="I23489">
        <v>0</v>
      </c>
      <c r="J23489">
        <v>0</v>
      </c>
      <c r="L23489">
        <v>0</v>
      </c>
      <c r="N23489">
        <v>0</v>
      </c>
      <c r="P23489">
        <v>0</v>
      </c>
      <c r="Q23489">
        <v>0</v>
      </c>
      <c r="S23489">
        <v>0</v>
      </c>
    </row>
    <row r="23490" spans="1:19" x14ac:dyDescent="0.3">
      <c r="A23490" t="str">
        <f t="shared" si="31"/>
        <v>Marys CenterPCIT FFJan-25</v>
      </c>
      <c r="B23490" s="171" t="s">
        <v>46406</v>
      </c>
      <c r="C23490" s="171" t="s">
        <v>176</v>
      </c>
      <c r="D23490" s="171" t="s">
        <v>80</v>
      </c>
      <c r="E23490" s="11">
        <v>45658</v>
      </c>
      <c r="F23490">
        <v>1.5</v>
      </c>
      <c r="G23490">
        <v>2</v>
      </c>
      <c r="I23490">
        <v>1</v>
      </c>
      <c r="J23490">
        <v>8</v>
      </c>
      <c r="L23490">
        <v>11</v>
      </c>
      <c r="N23490">
        <v>1</v>
      </c>
      <c r="P23490">
        <v>0</v>
      </c>
      <c r="Q23490">
        <v>0</v>
      </c>
      <c r="S23490">
        <v>0</v>
      </c>
    </row>
    <row r="23491" spans="1:19" x14ac:dyDescent="0.3">
      <c r="A23491" t="str">
        <f t="shared" si="31"/>
        <v>PIECEPCIT FFJan-25</v>
      </c>
      <c r="B23491" s="171" t="s">
        <v>46407</v>
      </c>
      <c r="C23491" s="171" t="s">
        <v>206</v>
      </c>
      <c r="D23491" s="171" t="s">
        <v>80</v>
      </c>
      <c r="E23491" s="11">
        <v>45658</v>
      </c>
      <c r="F23491">
        <v>1.5</v>
      </c>
      <c r="G23491">
        <v>1.5</v>
      </c>
      <c r="I23491">
        <v>1</v>
      </c>
      <c r="J23491">
        <v>7</v>
      </c>
      <c r="L23491">
        <v>7</v>
      </c>
      <c r="N23491">
        <v>1</v>
      </c>
      <c r="P23491">
        <v>0</v>
      </c>
      <c r="Q23491">
        <v>0</v>
      </c>
      <c r="S23491">
        <v>0</v>
      </c>
    </row>
    <row r="23492" spans="1:19" x14ac:dyDescent="0.3">
      <c r="A23492" t="str">
        <f t="shared" si="31"/>
        <v>Marys CenterPCIT DCSJan-25</v>
      </c>
      <c r="B23492" s="171" t="s">
        <v>46408</v>
      </c>
      <c r="C23492" s="171" t="s">
        <v>176</v>
      </c>
      <c r="D23492" s="171" t="s">
        <v>15341</v>
      </c>
      <c r="E23492" s="11">
        <v>45658</v>
      </c>
      <c r="F23492">
        <v>0</v>
      </c>
      <c r="G23492">
        <v>0</v>
      </c>
      <c r="I23492">
        <v>0</v>
      </c>
      <c r="J23492">
        <v>0</v>
      </c>
      <c r="L23492">
        <v>0</v>
      </c>
      <c r="N23492">
        <v>0</v>
      </c>
      <c r="P23492">
        <v>0</v>
      </c>
      <c r="Q23492">
        <v>0</v>
      </c>
      <c r="S23492">
        <v>0</v>
      </c>
    </row>
    <row r="23493" spans="1:19" x14ac:dyDescent="0.3">
      <c r="A23493" t="str">
        <f t="shared" si="31"/>
        <v>PIECEPCIT DCSJan-25</v>
      </c>
      <c r="B23493" s="171" t="s">
        <v>46409</v>
      </c>
      <c r="C23493" s="171" t="s">
        <v>206</v>
      </c>
      <c r="D23493" s="171" t="s">
        <v>15341</v>
      </c>
      <c r="E23493" s="11">
        <v>45658</v>
      </c>
      <c r="F23493">
        <v>0</v>
      </c>
      <c r="G23493">
        <v>0</v>
      </c>
      <c r="I23493">
        <v>0</v>
      </c>
      <c r="J23493">
        <v>0</v>
      </c>
      <c r="L23493">
        <v>0</v>
      </c>
      <c r="N23493">
        <v>0</v>
      </c>
      <c r="P23493">
        <v>0</v>
      </c>
      <c r="Q23493">
        <v>0</v>
      </c>
      <c r="S23493">
        <v>0</v>
      </c>
    </row>
    <row r="23494" spans="1:19" x14ac:dyDescent="0.3">
      <c r="A23494" t="str">
        <f t="shared" si="31"/>
        <v>Community ConnectionsPCIT DCSJan-25</v>
      </c>
      <c r="B23494" s="171" t="s">
        <v>46410</v>
      </c>
      <c r="C23494" s="171" t="s">
        <v>16544</v>
      </c>
      <c r="D23494" s="171" t="s">
        <v>15341</v>
      </c>
      <c r="E23494" s="11">
        <v>45658</v>
      </c>
      <c r="F23494">
        <v>0</v>
      </c>
      <c r="G23494">
        <v>0</v>
      </c>
      <c r="I23494">
        <v>0</v>
      </c>
      <c r="J23494">
        <v>0</v>
      </c>
      <c r="L23494">
        <v>0</v>
      </c>
      <c r="N23494">
        <v>0</v>
      </c>
      <c r="P23494">
        <v>0</v>
      </c>
      <c r="Q23494">
        <v>0</v>
      </c>
      <c r="S23494">
        <v>0</v>
      </c>
    </row>
    <row r="23495" spans="1:19" x14ac:dyDescent="0.3">
      <c r="A23495" t="str">
        <f t="shared" si="31"/>
        <v>Community ConnectionsPCIT FFJan-25</v>
      </c>
      <c r="B23495" s="171" t="s">
        <v>46411</v>
      </c>
      <c r="C23495" s="171" t="s">
        <v>16544</v>
      </c>
      <c r="D23495" s="171" t="s">
        <v>80</v>
      </c>
      <c r="E23495" s="11">
        <v>45658</v>
      </c>
      <c r="F23495">
        <v>0</v>
      </c>
      <c r="G23495">
        <v>0</v>
      </c>
      <c r="I23495">
        <v>0</v>
      </c>
      <c r="J23495">
        <v>0</v>
      </c>
      <c r="L23495">
        <v>0</v>
      </c>
      <c r="N23495">
        <v>0</v>
      </c>
      <c r="P23495">
        <v>0</v>
      </c>
      <c r="Q23495">
        <v>0</v>
      </c>
      <c r="S23495">
        <v>0</v>
      </c>
    </row>
    <row r="23496" spans="1:19" x14ac:dyDescent="0.3">
      <c r="A23496" t="str">
        <f t="shared" si="31"/>
        <v>Medstar GeorgetownPCIT DCSJan-25</v>
      </c>
      <c r="B23496" s="171" t="s">
        <v>46412</v>
      </c>
      <c r="C23496" s="171" t="s">
        <v>24315</v>
      </c>
      <c r="D23496" s="171" t="s">
        <v>15341</v>
      </c>
      <c r="E23496" s="11">
        <v>45658</v>
      </c>
      <c r="F23496">
        <v>0</v>
      </c>
      <c r="G23496">
        <v>0</v>
      </c>
      <c r="I23496">
        <v>0</v>
      </c>
      <c r="J23496">
        <v>0</v>
      </c>
      <c r="L23496">
        <v>0</v>
      </c>
      <c r="N23496">
        <v>0</v>
      </c>
      <c r="P23496">
        <v>0</v>
      </c>
      <c r="Q23496">
        <v>0</v>
      </c>
      <c r="S23496">
        <v>0</v>
      </c>
    </row>
    <row r="23497" spans="1:19" x14ac:dyDescent="0.3">
      <c r="A23497" t="str">
        <f t="shared" si="31"/>
        <v>Medstar GeorgetownPCIT FFJan-25</v>
      </c>
      <c r="B23497" s="171" t="s">
        <v>46413</v>
      </c>
      <c r="C23497" s="171" t="s">
        <v>24315</v>
      </c>
      <c r="D23497" s="171" t="s">
        <v>80</v>
      </c>
      <c r="E23497" s="11">
        <v>45658</v>
      </c>
      <c r="F23497">
        <v>0</v>
      </c>
      <c r="G23497">
        <v>0</v>
      </c>
      <c r="I23497">
        <v>0</v>
      </c>
      <c r="J23497">
        <v>0</v>
      </c>
      <c r="L23497">
        <v>0</v>
      </c>
      <c r="N23497">
        <v>0</v>
      </c>
      <c r="P23497">
        <v>0</v>
      </c>
      <c r="Q23497">
        <v>0</v>
      </c>
      <c r="S23497">
        <v>0</v>
      </c>
    </row>
    <row r="23498" spans="1:19" x14ac:dyDescent="0.3">
      <c r="A23498" t="str">
        <f t="shared" si="31"/>
        <v>Marys CenterPCIT-T FFJan-25</v>
      </c>
      <c r="B23498" s="171" t="s">
        <v>46414</v>
      </c>
      <c r="C23498" s="171" t="s">
        <v>34833</v>
      </c>
      <c r="D23498" s="171" t="s">
        <v>80</v>
      </c>
      <c r="E23498" s="11">
        <v>45658</v>
      </c>
      <c r="F23498">
        <v>1</v>
      </c>
      <c r="G23498">
        <v>2</v>
      </c>
      <c r="I23498">
        <v>0</v>
      </c>
      <c r="J23498">
        <v>6</v>
      </c>
      <c r="L23498">
        <v>11</v>
      </c>
      <c r="N23498">
        <v>0</v>
      </c>
      <c r="P23498">
        <v>0</v>
      </c>
      <c r="Q23498">
        <v>0</v>
      </c>
      <c r="S23498">
        <v>0</v>
      </c>
    </row>
    <row r="23499" spans="1:19" x14ac:dyDescent="0.3">
      <c r="A23499" t="str">
        <f t="shared" si="31"/>
        <v>PIECEPCIT-T FFJan-25</v>
      </c>
      <c r="B23499" s="171" t="s">
        <v>46415</v>
      </c>
      <c r="C23499" s="171" t="s">
        <v>34836</v>
      </c>
      <c r="D23499" s="171" t="s">
        <v>80</v>
      </c>
      <c r="E23499" s="11">
        <v>45658</v>
      </c>
      <c r="F23499">
        <v>1.5</v>
      </c>
      <c r="G23499">
        <v>1.5</v>
      </c>
      <c r="I23499">
        <v>4</v>
      </c>
      <c r="J23499">
        <v>7</v>
      </c>
      <c r="L23499">
        <v>7</v>
      </c>
      <c r="N23499">
        <v>2</v>
      </c>
      <c r="P23499">
        <v>0</v>
      </c>
      <c r="Q23499">
        <v>0</v>
      </c>
      <c r="S23499">
        <v>2</v>
      </c>
    </row>
    <row r="23500" spans="1:19" x14ac:dyDescent="0.3">
      <c r="A23500" t="str">
        <f t="shared" si="31"/>
        <v>Community ConnectionsTF-CBT FFJan-25</v>
      </c>
      <c r="B23500" s="171" t="s">
        <v>46416</v>
      </c>
      <c r="C23500" s="171" t="s">
        <v>113</v>
      </c>
      <c r="D23500" s="171" t="s">
        <v>80</v>
      </c>
      <c r="E23500" s="11">
        <v>45658</v>
      </c>
      <c r="F23500">
        <v>0</v>
      </c>
      <c r="G23500">
        <v>0</v>
      </c>
      <c r="I23500">
        <v>0</v>
      </c>
      <c r="J23500">
        <v>0</v>
      </c>
      <c r="L23500">
        <v>0</v>
      </c>
      <c r="N23500">
        <v>0</v>
      </c>
      <c r="P23500">
        <v>0</v>
      </c>
      <c r="Q23500">
        <v>0</v>
      </c>
      <c r="S23500">
        <v>0</v>
      </c>
    </row>
    <row r="23501" spans="1:19" x14ac:dyDescent="0.3">
      <c r="A23501" t="str">
        <f t="shared" si="31"/>
        <v>First Home CareTF-CBT FFJan-25</v>
      </c>
      <c r="B23501" s="171" t="s">
        <v>46417</v>
      </c>
      <c r="C23501" s="171" t="s">
        <v>131</v>
      </c>
      <c r="D23501" s="171" t="s">
        <v>80</v>
      </c>
      <c r="E23501" s="11">
        <v>45658</v>
      </c>
      <c r="F23501">
        <v>0</v>
      </c>
      <c r="G23501">
        <v>0</v>
      </c>
      <c r="I23501">
        <v>0</v>
      </c>
      <c r="J23501">
        <v>0</v>
      </c>
      <c r="L23501">
        <v>0</v>
      </c>
      <c r="N23501">
        <v>0</v>
      </c>
      <c r="P23501">
        <v>0</v>
      </c>
      <c r="Q23501">
        <v>0</v>
      </c>
      <c r="S23501">
        <v>0</v>
      </c>
    </row>
    <row r="23502" spans="1:19" x14ac:dyDescent="0.3">
      <c r="A23502" t="str">
        <f t="shared" si="31"/>
        <v>Foundations for Home &amp; CommunityTF-CBT FFJan-25</v>
      </c>
      <c r="B23502" s="171" t="s">
        <v>46418</v>
      </c>
      <c r="C23502" s="171" t="s">
        <v>14843</v>
      </c>
      <c r="D23502" s="171" t="s">
        <v>80</v>
      </c>
      <c r="E23502" s="11">
        <v>45658</v>
      </c>
      <c r="F23502">
        <v>0</v>
      </c>
      <c r="G23502">
        <v>0</v>
      </c>
      <c r="I23502">
        <v>0</v>
      </c>
      <c r="J23502">
        <v>0</v>
      </c>
      <c r="L23502">
        <v>0</v>
      </c>
      <c r="N23502">
        <v>0</v>
      </c>
      <c r="P23502">
        <v>0</v>
      </c>
      <c r="Q23502">
        <v>0</v>
      </c>
      <c r="S23502">
        <v>0</v>
      </c>
    </row>
    <row r="23503" spans="1:19" x14ac:dyDescent="0.3">
      <c r="A23503" t="str">
        <f t="shared" si="31"/>
        <v>HillcrestTF-CBT FFJan-25</v>
      </c>
      <c r="B23503" s="171" t="s">
        <v>46419</v>
      </c>
      <c r="C23503" s="171" t="s">
        <v>155</v>
      </c>
      <c r="D23503" s="171" t="s">
        <v>80</v>
      </c>
      <c r="E23503" s="11">
        <v>45658</v>
      </c>
      <c r="F23503">
        <v>4</v>
      </c>
      <c r="G23503">
        <v>6</v>
      </c>
      <c r="I23503">
        <v>12</v>
      </c>
      <c r="J23503">
        <v>23</v>
      </c>
      <c r="L23503">
        <v>31</v>
      </c>
      <c r="N23503">
        <v>12</v>
      </c>
      <c r="P23503">
        <v>0</v>
      </c>
      <c r="Q23503">
        <v>2</v>
      </c>
      <c r="S23503">
        <v>0</v>
      </c>
    </row>
    <row r="23504" spans="1:19" x14ac:dyDescent="0.3">
      <c r="A23504" t="str">
        <f t="shared" si="31"/>
        <v>LAYCTF-CBT FFJan-25</v>
      </c>
      <c r="B23504" s="171" t="s">
        <v>46420</v>
      </c>
      <c r="C23504" s="171" t="s">
        <v>16232</v>
      </c>
      <c r="D23504" s="171" t="s">
        <v>80</v>
      </c>
      <c r="E23504" s="11">
        <v>45658</v>
      </c>
      <c r="F23504">
        <v>2.5</v>
      </c>
      <c r="G23504">
        <v>3.5</v>
      </c>
      <c r="I23504">
        <v>11</v>
      </c>
      <c r="J23504">
        <v>15</v>
      </c>
      <c r="L23504">
        <v>21</v>
      </c>
      <c r="N23504">
        <v>10</v>
      </c>
      <c r="P23504">
        <v>0</v>
      </c>
      <c r="Q23504">
        <v>0</v>
      </c>
      <c r="S23504">
        <v>1</v>
      </c>
    </row>
    <row r="23505" spans="1:19" x14ac:dyDescent="0.3">
      <c r="A23505" t="str">
        <f t="shared" si="31"/>
        <v>LESTF-CBT FFJan-25</v>
      </c>
      <c r="B23505" s="171" t="s">
        <v>46421</v>
      </c>
      <c r="C23505" s="171" t="s">
        <v>16557</v>
      </c>
      <c r="D23505" s="171" t="s">
        <v>80</v>
      </c>
      <c r="E23505" s="11">
        <v>45658</v>
      </c>
      <c r="F23505">
        <v>0</v>
      </c>
      <c r="G23505">
        <v>0</v>
      </c>
      <c r="I23505">
        <v>0</v>
      </c>
      <c r="J23505">
        <v>0</v>
      </c>
      <c r="L23505">
        <v>0</v>
      </c>
      <c r="N23505">
        <v>0</v>
      </c>
      <c r="P23505">
        <v>0</v>
      </c>
      <c r="Q23505">
        <v>0</v>
      </c>
      <c r="S23505">
        <v>0</v>
      </c>
    </row>
    <row r="23506" spans="1:19" x14ac:dyDescent="0.3">
      <c r="A23506" t="str">
        <f t="shared" si="31"/>
        <v>MD Family ResourcesTF-CBT FFJan-25</v>
      </c>
      <c r="B23506" s="171" t="s">
        <v>46422</v>
      </c>
      <c r="C23506" s="171" t="s">
        <v>188</v>
      </c>
      <c r="D23506" s="171" t="s">
        <v>80</v>
      </c>
      <c r="E23506" s="11">
        <v>45658</v>
      </c>
      <c r="F23506">
        <v>2</v>
      </c>
      <c r="G23506">
        <v>3.5</v>
      </c>
      <c r="I23506">
        <v>4</v>
      </c>
      <c r="J23506">
        <v>11</v>
      </c>
      <c r="L23506">
        <v>20</v>
      </c>
      <c r="N23506">
        <v>3</v>
      </c>
      <c r="P23506">
        <v>0</v>
      </c>
      <c r="Q23506">
        <v>1</v>
      </c>
      <c r="S23506">
        <v>1</v>
      </c>
    </row>
    <row r="23507" spans="1:19" x14ac:dyDescent="0.3">
      <c r="A23507" t="str">
        <f t="shared" si="31"/>
        <v>UniversalTF-CBT FFJan-25</v>
      </c>
      <c r="B23507" s="171" t="s">
        <v>46423</v>
      </c>
      <c r="C23507" s="171" t="s">
        <v>227</v>
      </c>
      <c r="D23507" s="171" t="s">
        <v>80</v>
      </c>
      <c r="E23507" s="11">
        <v>45658</v>
      </c>
      <c r="F23507">
        <v>0</v>
      </c>
      <c r="G23507">
        <v>0</v>
      </c>
      <c r="I23507">
        <v>0</v>
      </c>
      <c r="J23507">
        <v>0</v>
      </c>
      <c r="L23507">
        <v>0</v>
      </c>
      <c r="N23507">
        <v>0</v>
      </c>
      <c r="P23507">
        <v>0</v>
      </c>
      <c r="Q23507">
        <v>0</v>
      </c>
      <c r="S23507">
        <v>0</v>
      </c>
    </row>
    <row r="23508" spans="1:19" x14ac:dyDescent="0.3">
      <c r="A23508" t="str">
        <f t="shared" si="31"/>
        <v>Community ConnectionsTIP FFJan-25</v>
      </c>
      <c r="B23508" s="171" t="s">
        <v>46424</v>
      </c>
      <c r="C23508" s="171" t="s">
        <v>116</v>
      </c>
      <c r="D23508" s="171" t="s">
        <v>80</v>
      </c>
      <c r="E23508" s="11">
        <v>45658</v>
      </c>
      <c r="F23508">
        <v>0</v>
      </c>
      <c r="G23508">
        <v>0</v>
      </c>
      <c r="I23508">
        <v>0</v>
      </c>
      <c r="J23508">
        <v>0</v>
      </c>
      <c r="L23508">
        <v>0</v>
      </c>
      <c r="N23508">
        <v>0</v>
      </c>
      <c r="P23508">
        <v>0</v>
      </c>
      <c r="Q23508">
        <v>0</v>
      </c>
      <c r="S23508">
        <v>0</v>
      </c>
    </row>
    <row r="23509" spans="1:19" x14ac:dyDescent="0.3">
      <c r="A23509" t="str">
        <f t="shared" si="31"/>
        <v>ContemporaryTIP FFJan-25</v>
      </c>
      <c r="B23509" s="171" t="s">
        <v>46425</v>
      </c>
      <c r="C23509" s="171" t="s">
        <v>9862</v>
      </c>
      <c r="D23509" s="171" t="s">
        <v>80</v>
      </c>
      <c r="E23509" s="11">
        <v>45658</v>
      </c>
      <c r="F23509">
        <v>0</v>
      </c>
      <c r="G23509">
        <v>0</v>
      </c>
      <c r="I23509">
        <v>0</v>
      </c>
      <c r="J23509">
        <v>0</v>
      </c>
      <c r="L23509">
        <v>0</v>
      </c>
      <c r="N23509">
        <v>0</v>
      </c>
      <c r="P23509">
        <v>0</v>
      </c>
      <c r="Q23509">
        <v>0</v>
      </c>
      <c r="S23509">
        <v>0</v>
      </c>
    </row>
    <row r="23510" spans="1:19" x14ac:dyDescent="0.3">
      <c r="A23510" t="str">
        <f t="shared" si="31"/>
        <v>FPSTIP FFJan-25</v>
      </c>
      <c r="B23510" s="171" t="s">
        <v>46426</v>
      </c>
      <c r="C23510" s="171" t="s">
        <v>140</v>
      </c>
      <c r="D23510" s="171" t="s">
        <v>80</v>
      </c>
      <c r="E23510" s="11">
        <v>45658</v>
      </c>
      <c r="F23510">
        <v>0</v>
      </c>
      <c r="G23510">
        <v>0</v>
      </c>
      <c r="I23510">
        <v>0</v>
      </c>
      <c r="J23510">
        <v>0</v>
      </c>
      <c r="L23510">
        <v>0</v>
      </c>
      <c r="N23510">
        <v>0</v>
      </c>
      <c r="P23510">
        <v>0</v>
      </c>
      <c r="Q23510">
        <v>0</v>
      </c>
      <c r="S23510">
        <v>0</v>
      </c>
    </row>
    <row r="23511" spans="1:19" x14ac:dyDescent="0.3">
      <c r="A23511" t="str">
        <f t="shared" si="31"/>
        <v>Green DoorTIP FFJan-25</v>
      </c>
      <c r="B23511" s="171" t="s">
        <v>46427</v>
      </c>
      <c r="C23511" s="171" t="s">
        <v>8590</v>
      </c>
      <c r="D23511" s="171" t="s">
        <v>80</v>
      </c>
      <c r="E23511" s="11">
        <v>45658</v>
      </c>
      <c r="F23511">
        <v>0</v>
      </c>
      <c r="G23511">
        <v>0</v>
      </c>
      <c r="I23511">
        <v>0</v>
      </c>
      <c r="J23511">
        <v>0</v>
      </c>
      <c r="L23511">
        <v>0</v>
      </c>
      <c r="N23511">
        <v>0</v>
      </c>
      <c r="P23511">
        <v>0</v>
      </c>
      <c r="Q23511">
        <v>0</v>
      </c>
      <c r="S23511">
        <v>0</v>
      </c>
    </row>
    <row r="23512" spans="1:19" x14ac:dyDescent="0.3">
      <c r="A23512" t="str">
        <f t="shared" si="31"/>
        <v>LESTIP FFJan-25</v>
      </c>
      <c r="B23512" s="171" t="s">
        <v>46428</v>
      </c>
      <c r="C23512" s="171" t="s">
        <v>170</v>
      </c>
      <c r="D23512" s="171" t="s">
        <v>80</v>
      </c>
      <c r="E23512" s="11">
        <v>45658</v>
      </c>
      <c r="F23512">
        <v>2.5</v>
      </c>
      <c r="G23512">
        <v>2.5</v>
      </c>
      <c r="I23512">
        <v>11</v>
      </c>
      <c r="J23512">
        <v>35</v>
      </c>
      <c r="L23512">
        <v>35</v>
      </c>
      <c r="N23512">
        <v>11</v>
      </c>
      <c r="P23512">
        <v>0</v>
      </c>
      <c r="Q23512">
        <v>0</v>
      </c>
      <c r="S23512">
        <v>0</v>
      </c>
    </row>
    <row r="23513" spans="1:19" x14ac:dyDescent="0.3">
      <c r="A23513" t="str">
        <f t="shared" si="31"/>
        <v>MBI HSTIP FFJan-25</v>
      </c>
      <c r="B23513" s="171" t="s">
        <v>46429</v>
      </c>
      <c r="C23513" s="171" t="s">
        <v>182</v>
      </c>
      <c r="D23513" s="171" t="s">
        <v>80</v>
      </c>
      <c r="E23513" s="11">
        <v>45658</v>
      </c>
      <c r="F23513">
        <v>7</v>
      </c>
      <c r="G23513">
        <v>9</v>
      </c>
      <c r="I23513">
        <v>39</v>
      </c>
      <c r="J23513">
        <v>80</v>
      </c>
      <c r="L23513">
        <v>102</v>
      </c>
      <c r="N23513">
        <v>39</v>
      </c>
      <c r="P23513">
        <v>1</v>
      </c>
      <c r="Q23513">
        <v>1</v>
      </c>
      <c r="S23513">
        <v>0</v>
      </c>
    </row>
    <row r="23514" spans="1:19" x14ac:dyDescent="0.3">
      <c r="A23514" t="str">
        <f t="shared" si="31"/>
        <v>PASSTIP FFJan-25</v>
      </c>
      <c r="B23514" s="171" t="s">
        <v>46430</v>
      </c>
      <c r="C23514" s="171" t="s">
        <v>197</v>
      </c>
      <c r="D23514" s="171" t="s">
        <v>80</v>
      </c>
      <c r="E23514" s="11">
        <v>45658</v>
      </c>
      <c r="F23514">
        <v>7.5</v>
      </c>
      <c r="G23514">
        <v>8</v>
      </c>
      <c r="I23514">
        <v>89</v>
      </c>
      <c r="J23514">
        <v>75</v>
      </c>
      <c r="L23514">
        <v>80</v>
      </c>
      <c r="N23514">
        <v>70</v>
      </c>
      <c r="P23514">
        <v>5</v>
      </c>
      <c r="Q23514">
        <v>7</v>
      </c>
      <c r="S23514">
        <v>19</v>
      </c>
    </row>
    <row r="23515" spans="1:19" x14ac:dyDescent="0.3">
      <c r="A23515" t="str">
        <f t="shared" si="31"/>
        <v>TFCCTIP FFJan-25</v>
      </c>
      <c r="B23515" s="171" t="s">
        <v>46431</v>
      </c>
      <c r="C23515" s="171" t="s">
        <v>218</v>
      </c>
      <c r="D23515" s="171" t="s">
        <v>80</v>
      </c>
      <c r="E23515" s="11">
        <v>45658</v>
      </c>
      <c r="F23515">
        <v>0</v>
      </c>
      <c r="G23515">
        <v>0</v>
      </c>
      <c r="I23515">
        <v>0</v>
      </c>
      <c r="J23515">
        <v>0</v>
      </c>
      <c r="L23515">
        <v>0</v>
      </c>
      <c r="N23515">
        <v>0</v>
      </c>
      <c r="P23515">
        <v>0</v>
      </c>
      <c r="Q23515">
        <v>0</v>
      </c>
      <c r="S23515">
        <v>0</v>
      </c>
    </row>
    <row r="23516" spans="1:19" x14ac:dyDescent="0.3">
      <c r="A23516" t="str">
        <f t="shared" si="31"/>
        <v>UmbrellaTIP FFJan-25</v>
      </c>
      <c r="B23516" s="171" t="s">
        <v>46432</v>
      </c>
      <c r="C23516" s="171" t="s">
        <v>34871</v>
      </c>
      <c r="D23516" s="171" t="s">
        <v>80</v>
      </c>
      <c r="E23516" s="11">
        <v>45658</v>
      </c>
      <c r="F23516">
        <v>6</v>
      </c>
      <c r="G23516">
        <v>6</v>
      </c>
      <c r="I23516">
        <v>33</v>
      </c>
      <c r="J23516">
        <v>66</v>
      </c>
      <c r="L23516">
        <v>66</v>
      </c>
      <c r="N23516">
        <v>33</v>
      </c>
      <c r="P23516">
        <v>0</v>
      </c>
      <c r="Q23516">
        <v>0</v>
      </c>
      <c r="S23516">
        <v>0</v>
      </c>
    </row>
    <row r="23517" spans="1:19" x14ac:dyDescent="0.3">
      <c r="A23517" t="str">
        <f t="shared" si="31"/>
        <v>UniversalTIP FFJan-25</v>
      </c>
      <c r="B23517" s="171" t="s">
        <v>46433</v>
      </c>
      <c r="C23517" s="171" t="s">
        <v>230</v>
      </c>
      <c r="D23517" s="171" t="s">
        <v>80</v>
      </c>
      <c r="E23517" s="11">
        <v>45658</v>
      </c>
      <c r="F23517">
        <v>0</v>
      </c>
      <c r="G23517">
        <v>0</v>
      </c>
      <c r="I23517">
        <v>0</v>
      </c>
      <c r="J23517">
        <v>0</v>
      </c>
      <c r="L23517">
        <v>0</v>
      </c>
      <c r="N23517">
        <v>0</v>
      </c>
      <c r="P23517">
        <v>0</v>
      </c>
      <c r="Q23517">
        <v>0</v>
      </c>
      <c r="S23517">
        <v>0</v>
      </c>
    </row>
    <row r="23518" spans="1:19" x14ac:dyDescent="0.3">
      <c r="A23518" t="str">
        <f t="shared" si="31"/>
        <v>Wayne PlaceTIP FFJan-25</v>
      </c>
      <c r="B23518" s="171" t="s">
        <v>46434</v>
      </c>
      <c r="C23518" s="171" t="s">
        <v>8193</v>
      </c>
      <c r="D23518" s="171" t="s">
        <v>80</v>
      </c>
      <c r="E23518" s="11">
        <v>45658</v>
      </c>
      <c r="F23518">
        <v>2</v>
      </c>
      <c r="G23518">
        <v>3</v>
      </c>
      <c r="I23518">
        <v>7</v>
      </c>
      <c r="J23518">
        <v>22</v>
      </c>
      <c r="L23518">
        <v>33</v>
      </c>
      <c r="N23518">
        <v>7</v>
      </c>
      <c r="P23518">
        <v>0</v>
      </c>
      <c r="Q23518">
        <v>0</v>
      </c>
      <c r="S23518">
        <v>0</v>
      </c>
    </row>
    <row r="23519" spans="1:19" x14ac:dyDescent="0.3">
      <c r="A23519" t="str">
        <f t="shared" si="31"/>
        <v>Adoptions TogetherTST FFJan-25</v>
      </c>
      <c r="B23519" s="171" t="s">
        <v>46435</v>
      </c>
      <c r="C23519" s="171" t="s">
        <v>10522</v>
      </c>
      <c r="D23519" s="171" t="s">
        <v>80</v>
      </c>
      <c r="E23519" s="11">
        <v>45658</v>
      </c>
      <c r="F23519">
        <v>0</v>
      </c>
      <c r="G23519">
        <v>0</v>
      </c>
      <c r="I23519">
        <v>0</v>
      </c>
      <c r="J23519">
        <v>0</v>
      </c>
      <c r="L23519">
        <v>0</v>
      </c>
      <c r="N23519">
        <v>0</v>
      </c>
      <c r="P23519">
        <v>0</v>
      </c>
      <c r="Q23519">
        <v>0</v>
      </c>
      <c r="S23519">
        <v>0</v>
      </c>
    </row>
    <row r="23520" spans="1:19" x14ac:dyDescent="0.3">
      <c r="A23520" t="str">
        <f t="shared" ref="A23520:A23583" si="32">C23520&amp;" "&amp;D23520&amp;"Jan-25"</f>
        <v>ContemporaryTST FFJan-25</v>
      </c>
      <c r="B23520" s="171" t="s">
        <v>46436</v>
      </c>
      <c r="C23520" s="171" t="s">
        <v>10525</v>
      </c>
      <c r="D23520" s="171" t="s">
        <v>80</v>
      </c>
      <c r="E23520" s="11">
        <v>45658</v>
      </c>
      <c r="F23520">
        <v>0</v>
      </c>
      <c r="G23520">
        <v>0</v>
      </c>
      <c r="I23520">
        <v>0</v>
      </c>
      <c r="J23520">
        <v>0</v>
      </c>
      <c r="L23520">
        <v>0</v>
      </c>
      <c r="N23520">
        <v>0</v>
      </c>
      <c r="P23520">
        <v>0</v>
      </c>
      <c r="Q23520">
        <v>0</v>
      </c>
      <c r="S23520">
        <v>0</v>
      </c>
    </row>
    <row r="23521" spans="1:19" x14ac:dyDescent="0.3">
      <c r="A23521" t="str">
        <f t="shared" si="32"/>
        <v>Family MattersTST FFJan-25</v>
      </c>
      <c r="B23521" s="171" t="s">
        <v>46437</v>
      </c>
      <c r="C23521" s="171" t="s">
        <v>10528</v>
      </c>
      <c r="D23521" s="171" t="s">
        <v>80</v>
      </c>
      <c r="E23521" s="11">
        <v>45658</v>
      </c>
      <c r="F23521">
        <v>0</v>
      </c>
      <c r="G23521">
        <v>0</v>
      </c>
      <c r="I23521">
        <v>0</v>
      </c>
      <c r="J23521">
        <v>0</v>
      </c>
      <c r="L23521">
        <v>0</v>
      </c>
      <c r="N23521">
        <v>0</v>
      </c>
      <c r="P23521">
        <v>0</v>
      </c>
      <c r="Q23521">
        <v>0</v>
      </c>
      <c r="S23521">
        <v>0</v>
      </c>
    </row>
    <row r="23522" spans="1:19" x14ac:dyDescent="0.3">
      <c r="A23522" t="str">
        <f t="shared" si="32"/>
        <v>First Home CareTST FFJan-25</v>
      </c>
      <c r="B23522" s="171" t="s">
        <v>46438</v>
      </c>
      <c r="C23522" s="171" t="s">
        <v>10531</v>
      </c>
      <c r="D23522" s="171" t="s">
        <v>80</v>
      </c>
      <c r="E23522" s="11">
        <v>45658</v>
      </c>
      <c r="F23522">
        <v>0</v>
      </c>
      <c r="G23522">
        <v>0</v>
      </c>
      <c r="I23522">
        <v>0</v>
      </c>
      <c r="J23522">
        <v>0</v>
      </c>
      <c r="L23522">
        <v>0</v>
      </c>
      <c r="N23522">
        <v>0</v>
      </c>
      <c r="P23522">
        <v>0</v>
      </c>
      <c r="Q23522">
        <v>0</v>
      </c>
      <c r="S23522">
        <v>0</v>
      </c>
    </row>
    <row r="23523" spans="1:19" x14ac:dyDescent="0.3">
      <c r="A23523" t="str">
        <f t="shared" si="32"/>
        <v>Foundations for Home &amp; CommunityTST FFJan-25</v>
      </c>
      <c r="B23523" s="171" t="s">
        <v>46439</v>
      </c>
      <c r="C23523" s="171" t="s">
        <v>14880</v>
      </c>
      <c r="D23523" s="171" t="s">
        <v>80</v>
      </c>
      <c r="E23523" s="11">
        <v>45658</v>
      </c>
      <c r="F23523">
        <v>0</v>
      </c>
      <c r="G23523">
        <v>0</v>
      </c>
      <c r="I23523">
        <v>0</v>
      </c>
      <c r="J23523">
        <v>0</v>
      </c>
      <c r="L23523">
        <v>0</v>
      </c>
      <c r="N23523">
        <v>0</v>
      </c>
      <c r="P23523">
        <v>0</v>
      </c>
      <c r="Q23523">
        <v>0</v>
      </c>
      <c r="S23523">
        <v>0</v>
      </c>
    </row>
    <row r="23524" spans="1:19" x14ac:dyDescent="0.3">
      <c r="A23524" t="str">
        <f t="shared" si="32"/>
        <v>HillcrestTST FFJan-25</v>
      </c>
      <c r="B23524" s="171" t="s">
        <v>46440</v>
      </c>
      <c r="C23524" s="171" t="s">
        <v>10534</v>
      </c>
      <c r="D23524" s="171" t="s">
        <v>80</v>
      </c>
      <c r="E23524" s="11">
        <v>45658</v>
      </c>
      <c r="F23524">
        <v>1</v>
      </c>
      <c r="G23524">
        <v>1.5</v>
      </c>
      <c r="I23524">
        <v>3</v>
      </c>
      <c r="J23524">
        <v>5</v>
      </c>
      <c r="L23524">
        <v>8</v>
      </c>
      <c r="N23524">
        <v>4</v>
      </c>
      <c r="P23524">
        <v>0</v>
      </c>
      <c r="Q23524">
        <v>0</v>
      </c>
      <c r="S23524">
        <v>0</v>
      </c>
    </row>
    <row r="23525" spans="1:19" x14ac:dyDescent="0.3">
      <c r="A23525" t="str">
        <f t="shared" si="32"/>
        <v>MD Family ResourcesTST FFJan-25</v>
      </c>
      <c r="B23525" s="171" t="s">
        <v>46441</v>
      </c>
      <c r="C23525" s="171" t="s">
        <v>10537</v>
      </c>
      <c r="D23525" s="171" t="s">
        <v>80</v>
      </c>
      <c r="E23525" s="11">
        <v>45658</v>
      </c>
      <c r="F23525">
        <v>0</v>
      </c>
      <c r="G23525">
        <v>1</v>
      </c>
      <c r="I23525">
        <v>0</v>
      </c>
      <c r="J23525">
        <v>0</v>
      </c>
      <c r="L23525">
        <v>6</v>
      </c>
      <c r="N23525">
        <v>0</v>
      </c>
      <c r="P23525">
        <v>0</v>
      </c>
      <c r="Q23525">
        <v>0</v>
      </c>
      <c r="S23525">
        <v>0</v>
      </c>
    </row>
    <row r="23526" spans="1:19" x14ac:dyDescent="0.3">
      <c r="A23526" t="str">
        <f t="shared" si="32"/>
        <v>DBH Parent SupportABC CombinedJan-25</v>
      </c>
      <c r="B23526" s="171" t="s">
        <v>46442</v>
      </c>
      <c r="C23526" s="171" t="s">
        <v>34754</v>
      </c>
      <c r="D23526" s="171" t="s">
        <v>4</v>
      </c>
      <c r="E23526" s="11">
        <v>45658</v>
      </c>
      <c r="F23526">
        <v>0</v>
      </c>
      <c r="G23526">
        <v>0</v>
      </c>
      <c r="I23526">
        <v>0</v>
      </c>
      <c r="J23526">
        <v>0</v>
      </c>
      <c r="L23526">
        <v>0</v>
      </c>
      <c r="N23526">
        <v>0</v>
      </c>
      <c r="P23526">
        <v>0</v>
      </c>
      <c r="Q23526">
        <v>0</v>
      </c>
      <c r="S23526">
        <v>0</v>
      </c>
    </row>
    <row r="23527" spans="1:19" x14ac:dyDescent="0.3">
      <c r="A23527" t="str">
        <f t="shared" si="32"/>
        <v>Healthy FuturesABC CombinedJan-25</v>
      </c>
      <c r="B23527" s="171" t="s">
        <v>46443</v>
      </c>
      <c r="C23527" s="171" t="s">
        <v>34757</v>
      </c>
      <c r="D23527" s="171" t="s">
        <v>4</v>
      </c>
      <c r="E23527" s="11">
        <v>45658</v>
      </c>
      <c r="F23527">
        <v>0</v>
      </c>
      <c r="G23527">
        <v>0</v>
      </c>
      <c r="I23527">
        <v>0</v>
      </c>
      <c r="J23527">
        <v>0</v>
      </c>
      <c r="L23527">
        <v>0</v>
      </c>
      <c r="N23527">
        <v>0</v>
      </c>
      <c r="P23527">
        <v>0</v>
      </c>
      <c r="Q23527">
        <v>0</v>
      </c>
      <c r="S23527">
        <v>0</v>
      </c>
    </row>
    <row r="23528" spans="1:19" x14ac:dyDescent="0.3">
      <c r="A23528" t="str">
        <f t="shared" si="32"/>
        <v>Marys CenterABC CombinedJan-25</v>
      </c>
      <c r="B23528" s="171" t="s">
        <v>46444</v>
      </c>
      <c r="C23528" s="171" t="s">
        <v>34760</v>
      </c>
      <c r="D23528" s="171" t="s">
        <v>4</v>
      </c>
      <c r="E23528" s="11">
        <v>45658</v>
      </c>
      <c r="F23528">
        <v>0</v>
      </c>
      <c r="G23528">
        <v>0</v>
      </c>
      <c r="I23528">
        <v>0</v>
      </c>
      <c r="J23528">
        <v>0</v>
      </c>
      <c r="L23528">
        <v>0</v>
      </c>
      <c r="N23528">
        <v>0</v>
      </c>
      <c r="P23528">
        <v>0</v>
      </c>
      <c r="Q23528">
        <v>0</v>
      </c>
      <c r="S23528">
        <v>0</v>
      </c>
    </row>
    <row r="23529" spans="1:19" x14ac:dyDescent="0.3">
      <c r="A23529" t="str">
        <f t="shared" si="32"/>
        <v>Medstar GeorgetownABC CombinedJan-25</v>
      </c>
      <c r="B23529" s="171" t="s">
        <v>46445</v>
      </c>
      <c r="C23529" s="171" t="s">
        <v>34763</v>
      </c>
      <c r="D23529" s="171" t="s">
        <v>4</v>
      </c>
      <c r="E23529" s="11">
        <v>45658</v>
      </c>
      <c r="F23529">
        <v>0</v>
      </c>
      <c r="G23529">
        <v>0</v>
      </c>
      <c r="I23529">
        <v>0</v>
      </c>
      <c r="J23529">
        <v>0</v>
      </c>
      <c r="L23529">
        <v>0</v>
      </c>
      <c r="N23529">
        <v>0</v>
      </c>
      <c r="P23529">
        <v>0</v>
      </c>
      <c r="Q23529">
        <v>0</v>
      </c>
      <c r="S23529">
        <v>0</v>
      </c>
    </row>
    <row r="23530" spans="1:19" x14ac:dyDescent="0.3">
      <c r="A23530" t="str">
        <f t="shared" si="32"/>
        <v>PIECEABC CombinedJan-25</v>
      </c>
      <c r="B23530" s="171" t="s">
        <v>46446</v>
      </c>
      <c r="C23530" s="171" t="s">
        <v>34766</v>
      </c>
      <c r="D23530" s="171" t="s">
        <v>4</v>
      </c>
      <c r="E23530" s="11">
        <v>45658</v>
      </c>
      <c r="F23530">
        <v>0</v>
      </c>
      <c r="G23530">
        <v>0</v>
      </c>
      <c r="I23530">
        <v>0</v>
      </c>
      <c r="J23530">
        <v>0</v>
      </c>
      <c r="L23530">
        <v>0</v>
      </c>
      <c r="N23530">
        <v>0</v>
      </c>
      <c r="P23530">
        <v>0</v>
      </c>
      <c r="Q23530">
        <v>0</v>
      </c>
      <c r="S23530">
        <v>0</v>
      </c>
    </row>
    <row r="23531" spans="1:19" x14ac:dyDescent="0.3">
      <c r="A23531" t="str">
        <f t="shared" si="32"/>
        <v>Federal CityA-CRA CombinedJan-25</v>
      </c>
      <c r="B23531" s="171" t="s">
        <v>46447</v>
      </c>
      <c r="C23531" s="171" t="s">
        <v>119</v>
      </c>
      <c r="D23531" s="171" t="s">
        <v>4</v>
      </c>
      <c r="E23531" s="11">
        <v>45658</v>
      </c>
      <c r="F23531">
        <v>0</v>
      </c>
      <c r="G23531">
        <v>0</v>
      </c>
      <c r="I23531">
        <v>0</v>
      </c>
      <c r="J23531">
        <v>0</v>
      </c>
      <c r="L23531">
        <v>0</v>
      </c>
      <c r="N23531">
        <v>0</v>
      </c>
      <c r="P23531">
        <v>0</v>
      </c>
      <c r="Q23531">
        <v>0</v>
      </c>
      <c r="S23531">
        <v>0</v>
      </c>
    </row>
    <row r="23532" spans="1:19" x14ac:dyDescent="0.3">
      <c r="A23532" t="str">
        <f t="shared" si="32"/>
        <v>HillcrestA-CRA CombinedJan-25</v>
      </c>
      <c r="B23532" s="171" t="s">
        <v>46448</v>
      </c>
      <c r="C23532" s="171" t="s">
        <v>143</v>
      </c>
      <c r="D23532" s="171" t="s">
        <v>4</v>
      </c>
      <c r="E23532" s="11">
        <v>45658</v>
      </c>
      <c r="F23532">
        <v>0</v>
      </c>
      <c r="G23532">
        <v>0</v>
      </c>
      <c r="I23532">
        <v>0</v>
      </c>
      <c r="J23532">
        <v>0</v>
      </c>
      <c r="L23532">
        <v>0</v>
      </c>
      <c r="N23532">
        <v>0</v>
      </c>
      <c r="P23532">
        <v>0</v>
      </c>
      <c r="Q23532">
        <v>0</v>
      </c>
      <c r="S23532">
        <v>0</v>
      </c>
    </row>
    <row r="23533" spans="1:19" x14ac:dyDescent="0.3">
      <c r="A23533" t="str">
        <f t="shared" si="32"/>
        <v>LAYCA-CRA CombinedJan-25</v>
      </c>
      <c r="B23533" s="171" t="s">
        <v>46449</v>
      </c>
      <c r="C23533" s="171" t="s">
        <v>158</v>
      </c>
      <c r="D23533" s="171" t="s">
        <v>4</v>
      </c>
      <c r="E23533" s="11">
        <v>45658</v>
      </c>
      <c r="F23533">
        <v>0</v>
      </c>
      <c r="G23533">
        <v>0</v>
      </c>
      <c r="I23533">
        <v>0</v>
      </c>
      <c r="J23533">
        <v>0</v>
      </c>
      <c r="L23533">
        <v>0</v>
      </c>
      <c r="N23533">
        <v>0</v>
      </c>
      <c r="P23533">
        <v>0</v>
      </c>
      <c r="Q23533">
        <v>0</v>
      </c>
      <c r="S23533">
        <v>0</v>
      </c>
    </row>
    <row r="23534" spans="1:19" x14ac:dyDescent="0.3">
      <c r="A23534" t="str">
        <f t="shared" si="32"/>
        <v>RiversideA-CRA CombinedJan-25</v>
      </c>
      <c r="B23534" s="171" t="s">
        <v>46450</v>
      </c>
      <c r="C23534" s="171" t="s">
        <v>209</v>
      </c>
      <c r="D23534" s="171" t="s">
        <v>4</v>
      </c>
      <c r="E23534" s="11">
        <v>45658</v>
      </c>
      <c r="F23534">
        <v>0</v>
      </c>
      <c r="G23534">
        <v>0</v>
      </c>
      <c r="I23534">
        <v>0</v>
      </c>
      <c r="J23534">
        <v>0</v>
      </c>
      <c r="L23534">
        <v>0</v>
      </c>
      <c r="N23534">
        <v>0</v>
      </c>
      <c r="P23534">
        <v>0</v>
      </c>
      <c r="Q23534">
        <v>0</v>
      </c>
      <c r="S23534">
        <v>0</v>
      </c>
    </row>
    <row r="23535" spans="1:19" x14ac:dyDescent="0.3">
      <c r="A23535" t="str">
        <f t="shared" si="32"/>
        <v>Adoptions TogetherCPP-FV CombinedJan-25</v>
      </c>
      <c r="B23535" s="171" t="s">
        <v>46451</v>
      </c>
      <c r="C23535" s="171" t="s">
        <v>76</v>
      </c>
      <c r="D23535" s="171" t="s">
        <v>4</v>
      </c>
      <c r="E23535" s="11">
        <v>45658</v>
      </c>
      <c r="F23535">
        <v>0</v>
      </c>
      <c r="G23535">
        <v>0</v>
      </c>
      <c r="I23535">
        <v>0</v>
      </c>
      <c r="J23535">
        <v>0</v>
      </c>
      <c r="L23535">
        <v>0</v>
      </c>
      <c r="N23535">
        <v>0</v>
      </c>
      <c r="P23535">
        <v>0</v>
      </c>
      <c r="Q23535">
        <v>0</v>
      </c>
      <c r="S23535">
        <v>0</v>
      </c>
    </row>
    <row r="23536" spans="1:19" x14ac:dyDescent="0.3">
      <c r="A23536" t="str">
        <f t="shared" si="32"/>
        <v>Foundations for Home &amp; CommunityCPP-FV CombinedJan-25</v>
      </c>
      <c r="B23536" s="171" t="s">
        <v>46452</v>
      </c>
      <c r="C23536" s="171" t="s">
        <v>15344</v>
      </c>
      <c r="D23536" s="171" t="s">
        <v>4</v>
      </c>
      <c r="E23536" s="11">
        <v>45658</v>
      </c>
      <c r="F23536">
        <v>0</v>
      </c>
      <c r="G23536">
        <v>0</v>
      </c>
      <c r="I23536">
        <v>0</v>
      </c>
      <c r="J23536">
        <v>0</v>
      </c>
      <c r="L23536">
        <v>0</v>
      </c>
      <c r="N23536">
        <v>0</v>
      </c>
      <c r="P23536">
        <v>0</v>
      </c>
      <c r="Q23536">
        <v>0</v>
      </c>
      <c r="S23536">
        <v>0</v>
      </c>
    </row>
    <row r="23537" spans="1:19" x14ac:dyDescent="0.3">
      <c r="A23537" t="str">
        <f t="shared" si="32"/>
        <v>Medstar GeorgetownCPP-FV CombinedJan-25</v>
      </c>
      <c r="B23537" s="171" t="s">
        <v>46453</v>
      </c>
      <c r="C23537" s="171" t="s">
        <v>24281</v>
      </c>
      <c r="D23537" s="171" t="s">
        <v>4</v>
      </c>
      <c r="E23537" s="11">
        <v>45658</v>
      </c>
      <c r="F23537">
        <v>0</v>
      </c>
      <c r="G23537">
        <v>0</v>
      </c>
      <c r="I23537">
        <v>0</v>
      </c>
      <c r="J23537">
        <v>0</v>
      </c>
      <c r="L23537">
        <v>0</v>
      </c>
      <c r="N23537">
        <v>0</v>
      </c>
      <c r="P23537">
        <v>0</v>
      </c>
      <c r="Q23537">
        <v>0</v>
      </c>
      <c r="S23537">
        <v>0</v>
      </c>
    </row>
    <row r="23538" spans="1:19" x14ac:dyDescent="0.3">
      <c r="A23538" t="str">
        <f t="shared" si="32"/>
        <v>Better MorningsFFT CombinedJan-25</v>
      </c>
      <c r="B23538" s="171" t="s">
        <v>46454</v>
      </c>
      <c r="C23538" s="171" t="s">
        <v>24284</v>
      </c>
      <c r="D23538" s="171" t="s">
        <v>4</v>
      </c>
      <c r="E23538" s="11">
        <v>45658</v>
      </c>
      <c r="F23538">
        <v>3</v>
      </c>
      <c r="G23538">
        <v>3</v>
      </c>
      <c r="I23538">
        <v>8</v>
      </c>
      <c r="J23538">
        <v>17</v>
      </c>
      <c r="L23538">
        <v>17</v>
      </c>
      <c r="N23538">
        <v>6</v>
      </c>
      <c r="P23538">
        <v>0</v>
      </c>
      <c r="Q23538">
        <v>0</v>
      </c>
      <c r="S23538">
        <v>2</v>
      </c>
    </row>
    <row r="23539" spans="1:19" x14ac:dyDescent="0.3">
      <c r="A23539" t="str">
        <f t="shared" si="32"/>
        <v>CatholicFFT CombinedJan-25</v>
      </c>
      <c r="B23539" s="171" t="s">
        <v>46455</v>
      </c>
      <c r="C23539" s="171" t="s">
        <v>18126</v>
      </c>
      <c r="D23539" s="171" t="s">
        <v>4</v>
      </c>
      <c r="E23539" s="11">
        <v>45658</v>
      </c>
      <c r="F23539">
        <v>0</v>
      </c>
      <c r="G23539">
        <v>0</v>
      </c>
      <c r="I23539">
        <v>0</v>
      </c>
      <c r="J23539">
        <v>0</v>
      </c>
      <c r="L23539">
        <v>0</v>
      </c>
      <c r="N23539">
        <v>0</v>
      </c>
      <c r="P23539">
        <v>0</v>
      </c>
      <c r="Q23539">
        <v>0</v>
      </c>
      <c r="S23539">
        <v>0</v>
      </c>
    </row>
    <row r="23540" spans="1:19" x14ac:dyDescent="0.3">
      <c r="A23540" t="str">
        <f t="shared" si="32"/>
        <v>First Home CareFFT CombinedJan-25</v>
      </c>
      <c r="B23540" s="171" t="s">
        <v>46456</v>
      </c>
      <c r="C23540" s="171" t="s">
        <v>128</v>
      </c>
      <c r="D23540" s="171" t="s">
        <v>4</v>
      </c>
      <c r="E23540" s="11">
        <v>45658</v>
      </c>
      <c r="F23540">
        <v>0</v>
      </c>
      <c r="G23540">
        <v>0</v>
      </c>
      <c r="I23540">
        <v>0</v>
      </c>
      <c r="J23540">
        <v>0</v>
      </c>
      <c r="L23540">
        <v>0</v>
      </c>
      <c r="N23540">
        <v>0</v>
      </c>
      <c r="P23540">
        <v>0</v>
      </c>
      <c r="Q23540">
        <v>0</v>
      </c>
      <c r="S23540">
        <v>0</v>
      </c>
    </row>
    <row r="23541" spans="1:19" x14ac:dyDescent="0.3">
      <c r="A23541" t="str">
        <f t="shared" si="32"/>
        <v>Foundations for Home &amp; CommunityFFT CombinedJan-25</v>
      </c>
      <c r="B23541" s="171" t="s">
        <v>46457</v>
      </c>
      <c r="C23541" s="171" t="s">
        <v>14824</v>
      </c>
      <c r="D23541" s="171" t="s">
        <v>4</v>
      </c>
      <c r="E23541" s="11">
        <v>45658</v>
      </c>
      <c r="F23541">
        <v>0</v>
      </c>
      <c r="G23541">
        <v>0</v>
      </c>
      <c r="I23541">
        <v>0</v>
      </c>
      <c r="J23541">
        <v>0</v>
      </c>
      <c r="L23541">
        <v>0</v>
      </c>
      <c r="N23541">
        <v>0</v>
      </c>
      <c r="P23541">
        <v>0</v>
      </c>
      <c r="Q23541">
        <v>0</v>
      </c>
      <c r="S23541">
        <v>0</v>
      </c>
    </row>
    <row r="23542" spans="1:19" x14ac:dyDescent="0.3">
      <c r="A23542" t="str">
        <f t="shared" si="32"/>
        <v>HillcrestFFT CombinedJan-25</v>
      </c>
      <c r="B23542" s="171" t="s">
        <v>46458</v>
      </c>
      <c r="C23542" s="171" t="s">
        <v>152</v>
      </c>
      <c r="D23542" s="171" t="s">
        <v>4</v>
      </c>
      <c r="E23542" s="11">
        <v>45658</v>
      </c>
      <c r="F23542">
        <v>0</v>
      </c>
      <c r="G23542">
        <v>0</v>
      </c>
      <c r="I23542">
        <v>0</v>
      </c>
      <c r="J23542">
        <v>0</v>
      </c>
      <c r="L23542">
        <v>0</v>
      </c>
      <c r="N23542">
        <v>0</v>
      </c>
      <c r="P23542">
        <v>0</v>
      </c>
      <c r="Q23542">
        <v>0</v>
      </c>
      <c r="S23542">
        <v>0</v>
      </c>
    </row>
    <row r="23543" spans="1:19" x14ac:dyDescent="0.3">
      <c r="A23543" t="str">
        <f t="shared" si="32"/>
        <v>PASSFFT CombinedJan-25</v>
      </c>
      <c r="B23543" s="171" t="s">
        <v>46459</v>
      </c>
      <c r="C23543" s="171" t="s">
        <v>194</v>
      </c>
      <c r="D23543" s="171" t="s">
        <v>4</v>
      </c>
      <c r="E23543" s="11">
        <v>45658</v>
      </c>
      <c r="F23543">
        <v>2</v>
      </c>
      <c r="G23543">
        <v>5</v>
      </c>
      <c r="I23543">
        <v>14</v>
      </c>
      <c r="J23543">
        <v>12</v>
      </c>
      <c r="L23543">
        <v>27</v>
      </c>
      <c r="N23543">
        <v>13</v>
      </c>
      <c r="P23543">
        <v>0</v>
      </c>
      <c r="Q23543">
        <v>0</v>
      </c>
      <c r="S23543">
        <v>1</v>
      </c>
    </row>
    <row r="23544" spans="1:19" x14ac:dyDescent="0.3">
      <c r="A23544" t="str">
        <f t="shared" si="32"/>
        <v>Better MorningsIHCBS CombinedJan-25</v>
      </c>
      <c r="B23544" s="171" t="s">
        <v>46460</v>
      </c>
      <c r="C23544" s="171" t="s">
        <v>39930</v>
      </c>
      <c r="D23544" s="171" t="s">
        <v>4</v>
      </c>
      <c r="E23544" s="11">
        <v>45658</v>
      </c>
      <c r="F23544">
        <v>4</v>
      </c>
      <c r="G23544">
        <v>4</v>
      </c>
      <c r="I23544">
        <v>18</v>
      </c>
      <c r="J23544">
        <v>16</v>
      </c>
      <c r="L23544">
        <v>16</v>
      </c>
      <c r="N23544">
        <v>13</v>
      </c>
      <c r="P23544">
        <v>4</v>
      </c>
      <c r="Q23544">
        <v>4</v>
      </c>
      <c r="S23544">
        <v>5</v>
      </c>
    </row>
    <row r="23545" spans="1:19" x14ac:dyDescent="0.3">
      <c r="A23545" t="str">
        <f t="shared" si="32"/>
        <v>HillcrestIHCBS CombinedJan-25</v>
      </c>
      <c r="B23545" s="171" t="s">
        <v>46461</v>
      </c>
      <c r="C23545" s="171" t="s">
        <v>39933</v>
      </c>
      <c r="D23545" s="171" t="s">
        <v>4</v>
      </c>
      <c r="E23545" s="11">
        <v>45658</v>
      </c>
      <c r="F23545">
        <v>3</v>
      </c>
      <c r="G23545">
        <v>4</v>
      </c>
      <c r="I23545">
        <v>15</v>
      </c>
      <c r="J23545">
        <v>12</v>
      </c>
      <c r="L23545">
        <v>16</v>
      </c>
      <c r="N23545">
        <v>15</v>
      </c>
      <c r="P23545">
        <v>1</v>
      </c>
      <c r="Q23545">
        <v>3</v>
      </c>
      <c r="S23545">
        <v>0</v>
      </c>
    </row>
    <row r="23546" spans="1:19" x14ac:dyDescent="0.3">
      <c r="A23546" t="str">
        <f t="shared" si="32"/>
        <v>LESIHCBS CombinedJan-25</v>
      </c>
      <c r="B23546" s="171" t="s">
        <v>46462</v>
      </c>
      <c r="C23546" s="171" t="s">
        <v>39936</v>
      </c>
      <c r="D23546" s="171" t="s">
        <v>4</v>
      </c>
      <c r="E23546" s="11">
        <v>45658</v>
      </c>
      <c r="F23546">
        <v>0</v>
      </c>
      <c r="G23546">
        <v>0</v>
      </c>
      <c r="I23546">
        <v>0</v>
      </c>
      <c r="J23546">
        <v>0</v>
      </c>
      <c r="L23546">
        <v>0</v>
      </c>
      <c r="N23546">
        <v>0</v>
      </c>
      <c r="P23546">
        <v>0</v>
      </c>
      <c r="Q23546">
        <v>0</v>
      </c>
      <c r="S23546">
        <v>0</v>
      </c>
    </row>
    <row r="23547" spans="1:19" x14ac:dyDescent="0.3">
      <c r="A23547" t="str">
        <f t="shared" si="32"/>
        <v>MBI HSIHCBS CombinedJan-25</v>
      </c>
      <c r="B23547" s="171" t="s">
        <v>46463</v>
      </c>
      <c r="C23547" s="171" t="s">
        <v>39939</v>
      </c>
      <c r="D23547" s="171" t="s">
        <v>4</v>
      </c>
      <c r="E23547" s="11">
        <v>45658</v>
      </c>
      <c r="F23547">
        <v>2</v>
      </c>
      <c r="G23547">
        <v>2</v>
      </c>
      <c r="I23547">
        <v>5</v>
      </c>
      <c r="J23547">
        <v>8</v>
      </c>
      <c r="L23547">
        <v>8</v>
      </c>
      <c r="N23547">
        <v>5</v>
      </c>
      <c r="P23547">
        <v>1</v>
      </c>
      <c r="Q23547">
        <v>2</v>
      </c>
      <c r="S23547">
        <v>0</v>
      </c>
    </row>
    <row r="23548" spans="1:19" x14ac:dyDescent="0.3">
      <c r="A23548" t="str">
        <f t="shared" si="32"/>
        <v>MD Family ResourcesIHCBS CombinedJan-25</v>
      </c>
      <c r="B23548" s="171" t="s">
        <v>46464</v>
      </c>
      <c r="C23548" s="171" t="s">
        <v>39942</v>
      </c>
      <c r="D23548" s="171" t="s">
        <v>4</v>
      </c>
      <c r="E23548" s="11">
        <v>45658</v>
      </c>
      <c r="F23548">
        <v>0</v>
      </c>
      <c r="G23548">
        <v>4</v>
      </c>
      <c r="I23548">
        <v>0</v>
      </c>
      <c r="J23548">
        <v>0</v>
      </c>
      <c r="L23548">
        <v>16</v>
      </c>
      <c r="N23548">
        <v>0</v>
      </c>
      <c r="P23548">
        <v>0</v>
      </c>
      <c r="Q23548">
        <v>0</v>
      </c>
      <c r="S23548">
        <v>0</v>
      </c>
    </row>
    <row r="23549" spans="1:19" x14ac:dyDescent="0.3">
      <c r="A23549" t="str">
        <f t="shared" si="32"/>
        <v>UmbrellaIHCBS CombinedJan-25</v>
      </c>
      <c r="B23549" s="171" t="s">
        <v>46465</v>
      </c>
      <c r="C23549" s="171" t="s">
        <v>45944</v>
      </c>
      <c r="D23549" s="171" t="s">
        <v>4</v>
      </c>
      <c r="E23549" s="11">
        <v>45658</v>
      </c>
      <c r="F23549">
        <v>2</v>
      </c>
      <c r="G23549">
        <v>2</v>
      </c>
      <c r="I23549">
        <v>2</v>
      </c>
      <c r="J23549">
        <v>8</v>
      </c>
      <c r="L23549">
        <v>8</v>
      </c>
      <c r="N23549">
        <v>1</v>
      </c>
      <c r="P23549">
        <v>0</v>
      </c>
      <c r="Q23549">
        <v>0</v>
      </c>
      <c r="S23549">
        <v>1</v>
      </c>
    </row>
    <row r="23550" spans="1:19" x14ac:dyDescent="0.3">
      <c r="A23550" t="str">
        <f t="shared" si="32"/>
        <v>LCSMST CombinedJan-25</v>
      </c>
      <c r="B23550" s="171" t="s">
        <v>46466</v>
      </c>
      <c r="C23550" s="171" t="s">
        <v>18137</v>
      </c>
      <c r="D23550" s="171" t="s">
        <v>4</v>
      </c>
      <c r="E23550" s="11">
        <v>45658</v>
      </c>
      <c r="F23550">
        <v>0</v>
      </c>
      <c r="G23550">
        <v>0</v>
      </c>
      <c r="I23550">
        <v>0</v>
      </c>
      <c r="J23550">
        <v>0</v>
      </c>
      <c r="L23550">
        <v>0</v>
      </c>
      <c r="N23550">
        <v>0</v>
      </c>
      <c r="P23550">
        <v>0</v>
      </c>
      <c r="Q23550">
        <v>0</v>
      </c>
      <c r="S23550">
        <v>0</v>
      </c>
    </row>
    <row r="23551" spans="1:19" x14ac:dyDescent="0.3">
      <c r="A23551" t="str">
        <f t="shared" si="32"/>
        <v>MBI HSMST CombinedJan-25</v>
      </c>
      <c r="B23551" s="171" t="s">
        <v>46467</v>
      </c>
      <c r="C23551" s="171" t="s">
        <v>18140</v>
      </c>
      <c r="D23551" s="171" t="s">
        <v>4</v>
      </c>
      <c r="E23551" s="11">
        <v>45658</v>
      </c>
      <c r="F23551">
        <v>1</v>
      </c>
      <c r="G23551">
        <v>4</v>
      </c>
      <c r="I23551">
        <v>3</v>
      </c>
      <c r="J23551">
        <v>5</v>
      </c>
      <c r="L23551">
        <v>20</v>
      </c>
      <c r="N23551">
        <v>1</v>
      </c>
      <c r="P23551">
        <v>3</v>
      </c>
      <c r="Q23551">
        <v>3</v>
      </c>
      <c r="S23551">
        <v>2</v>
      </c>
    </row>
    <row r="23552" spans="1:19" x14ac:dyDescent="0.3">
      <c r="A23552" t="str">
        <f t="shared" si="32"/>
        <v>Youth VillagesMST CombinedJan-25</v>
      </c>
      <c r="B23552" s="171" t="s">
        <v>46468</v>
      </c>
      <c r="C23552" s="171" t="s">
        <v>236</v>
      </c>
      <c r="D23552" s="171" t="s">
        <v>4</v>
      </c>
      <c r="E23552" s="11">
        <v>45658</v>
      </c>
      <c r="F23552">
        <v>0</v>
      </c>
      <c r="G23552">
        <v>0</v>
      </c>
      <c r="I23552">
        <v>0</v>
      </c>
      <c r="J23552">
        <v>0</v>
      </c>
      <c r="L23552">
        <v>0</v>
      </c>
      <c r="N23552">
        <v>0</v>
      </c>
      <c r="P23552">
        <v>0</v>
      </c>
      <c r="Q23552">
        <v>0</v>
      </c>
      <c r="S23552">
        <v>0</v>
      </c>
    </row>
    <row r="23553" spans="1:19" x14ac:dyDescent="0.3">
      <c r="A23553" t="str">
        <f t="shared" si="32"/>
        <v>Youth VillagesMST-PSB CombinedJan-25</v>
      </c>
      <c r="B23553" s="171" t="s">
        <v>46469</v>
      </c>
      <c r="C23553" s="171" t="s">
        <v>239</v>
      </c>
      <c r="D23553" s="171" t="s">
        <v>4</v>
      </c>
      <c r="E23553" s="11">
        <v>45658</v>
      </c>
      <c r="F23553">
        <v>0</v>
      </c>
      <c r="G23553">
        <v>0</v>
      </c>
      <c r="I23553">
        <v>0</v>
      </c>
      <c r="J23553">
        <v>0</v>
      </c>
      <c r="L23553">
        <v>0</v>
      </c>
      <c r="N23553">
        <v>0</v>
      </c>
      <c r="P23553">
        <v>0</v>
      </c>
      <c r="Q23553">
        <v>0</v>
      </c>
      <c r="S23553">
        <v>0</v>
      </c>
    </row>
    <row r="23554" spans="1:19" x14ac:dyDescent="0.3">
      <c r="A23554" t="str">
        <f t="shared" si="32"/>
        <v>Medstar GeorgetownPCIT CombinedJan-25</v>
      </c>
      <c r="B23554" s="171" t="s">
        <v>46470</v>
      </c>
      <c r="C23554" s="171" t="s">
        <v>24315</v>
      </c>
      <c r="D23554" s="171" t="s">
        <v>4</v>
      </c>
      <c r="E23554" s="11">
        <v>45658</v>
      </c>
      <c r="F23554">
        <v>0</v>
      </c>
      <c r="G23554">
        <v>0</v>
      </c>
      <c r="I23554">
        <v>0</v>
      </c>
      <c r="J23554">
        <v>0</v>
      </c>
      <c r="L23554">
        <v>0</v>
      </c>
      <c r="N23554">
        <v>0</v>
      </c>
      <c r="P23554">
        <v>0</v>
      </c>
      <c r="Q23554">
        <v>0</v>
      </c>
      <c r="S23554">
        <v>0</v>
      </c>
    </row>
    <row r="23555" spans="1:19" x14ac:dyDescent="0.3">
      <c r="A23555" t="str">
        <f t="shared" si="32"/>
        <v>Marys CenterPCIT-T CombinedJan-25</v>
      </c>
      <c r="B23555" s="171" t="s">
        <v>46471</v>
      </c>
      <c r="C23555" s="171" t="s">
        <v>34833</v>
      </c>
      <c r="D23555" s="171" t="s">
        <v>4</v>
      </c>
      <c r="E23555" s="11">
        <v>45658</v>
      </c>
      <c r="F23555">
        <v>1</v>
      </c>
      <c r="G23555">
        <v>2</v>
      </c>
      <c r="I23555">
        <v>0</v>
      </c>
      <c r="J23555">
        <v>6</v>
      </c>
      <c r="L23555">
        <v>11</v>
      </c>
      <c r="N23555">
        <v>0</v>
      </c>
      <c r="P23555">
        <v>0</v>
      </c>
      <c r="Q23555">
        <v>0</v>
      </c>
      <c r="S23555">
        <v>0</v>
      </c>
    </row>
    <row r="23556" spans="1:19" x14ac:dyDescent="0.3">
      <c r="A23556" t="str">
        <f t="shared" si="32"/>
        <v>PIECEPCIT-T CombinedJan-25</v>
      </c>
      <c r="B23556" s="171" t="s">
        <v>46472</v>
      </c>
      <c r="C23556" s="171" t="s">
        <v>34836</v>
      </c>
      <c r="D23556" s="171" t="s">
        <v>4</v>
      </c>
      <c r="E23556" s="11">
        <v>45658</v>
      </c>
      <c r="F23556">
        <v>1.5</v>
      </c>
      <c r="G23556">
        <v>1.5</v>
      </c>
      <c r="I23556">
        <v>4</v>
      </c>
      <c r="J23556">
        <v>7</v>
      </c>
      <c r="L23556">
        <v>7</v>
      </c>
      <c r="N23556">
        <v>2</v>
      </c>
      <c r="P23556">
        <v>0</v>
      </c>
      <c r="Q23556">
        <v>0</v>
      </c>
      <c r="S23556">
        <v>2</v>
      </c>
    </row>
    <row r="23557" spans="1:19" x14ac:dyDescent="0.3">
      <c r="A23557" t="str">
        <f t="shared" si="32"/>
        <v>Community ConnectionsTF-CBT CombinedJan-25</v>
      </c>
      <c r="B23557" s="171" t="s">
        <v>46473</v>
      </c>
      <c r="C23557" s="171" t="s">
        <v>113</v>
      </c>
      <c r="D23557" s="171" t="s">
        <v>4</v>
      </c>
      <c r="E23557" s="11">
        <v>45658</v>
      </c>
      <c r="F23557">
        <v>0</v>
      </c>
      <c r="G23557">
        <v>0</v>
      </c>
      <c r="I23557">
        <v>0</v>
      </c>
      <c r="J23557">
        <v>0</v>
      </c>
      <c r="L23557">
        <v>0</v>
      </c>
      <c r="N23557">
        <v>0</v>
      </c>
      <c r="P23557">
        <v>0</v>
      </c>
      <c r="Q23557">
        <v>0</v>
      </c>
      <c r="S23557">
        <v>0</v>
      </c>
    </row>
    <row r="23558" spans="1:19" x14ac:dyDescent="0.3">
      <c r="A23558" t="str">
        <f t="shared" si="32"/>
        <v>First Home CareTF-CBT CombinedJan-25</v>
      </c>
      <c r="B23558" s="171" t="s">
        <v>46474</v>
      </c>
      <c r="C23558" s="171" t="s">
        <v>131</v>
      </c>
      <c r="D23558" s="171" t="s">
        <v>4</v>
      </c>
      <c r="E23558" s="11">
        <v>45658</v>
      </c>
      <c r="F23558">
        <v>0</v>
      </c>
      <c r="G23558">
        <v>0</v>
      </c>
      <c r="I23558">
        <v>0</v>
      </c>
      <c r="J23558">
        <v>0</v>
      </c>
      <c r="L23558">
        <v>0</v>
      </c>
      <c r="N23558">
        <v>0</v>
      </c>
      <c r="P23558">
        <v>0</v>
      </c>
      <c r="Q23558">
        <v>0</v>
      </c>
      <c r="S23558">
        <v>0</v>
      </c>
    </row>
    <row r="23559" spans="1:19" x14ac:dyDescent="0.3">
      <c r="A23559" t="str">
        <f t="shared" si="32"/>
        <v>Foundations for Home &amp; CommunityTF-CBT CombinedJan-25</v>
      </c>
      <c r="B23559" s="171" t="s">
        <v>46475</v>
      </c>
      <c r="C23559" s="171" t="s">
        <v>14843</v>
      </c>
      <c r="D23559" s="171" t="s">
        <v>4</v>
      </c>
      <c r="E23559" s="11">
        <v>45658</v>
      </c>
      <c r="F23559">
        <v>0</v>
      </c>
      <c r="G23559">
        <v>0</v>
      </c>
      <c r="I23559">
        <v>0</v>
      </c>
      <c r="J23559">
        <v>0</v>
      </c>
      <c r="L23559">
        <v>0</v>
      </c>
      <c r="N23559">
        <v>0</v>
      </c>
      <c r="P23559">
        <v>0</v>
      </c>
      <c r="Q23559">
        <v>0</v>
      </c>
      <c r="S23559">
        <v>0</v>
      </c>
    </row>
    <row r="23560" spans="1:19" x14ac:dyDescent="0.3">
      <c r="A23560" t="str">
        <f t="shared" si="32"/>
        <v>HillcrestTF-CBT CombinedJan-25</v>
      </c>
      <c r="B23560" s="171" t="s">
        <v>46476</v>
      </c>
      <c r="C23560" s="171" t="s">
        <v>155</v>
      </c>
      <c r="D23560" s="171" t="s">
        <v>4</v>
      </c>
      <c r="E23560" s="11">
        <v>45658</v>
      </c>
      <c r="F23560">
        <v>4</v>
      </c>
      <c r="G23560">
        <v>6</v>
      </c>
      <c r="I23560">
        <v>12</v>
      </c>
      <c r="J23560">
        <v>23</v>
      </c>
      <c r="L23560">
        <v>31</v>
      </c>
      <c r="N23560">
        <v>12</v>
      </c>
      <c r="P23560">
        <v>0</v>
      </c>
      <c r="Q23560">
        <v>2</v>
      </c>
      <c r="S23560">
        <v>0</v>
      </c>
    </row>
    <row r="23561" spans="1:19" x14ac:dyDescent="0.3">
      <c r="A23561" t="str">
        <f t="shared" si="32"/>
        <v>LAYCTF-CBT CombinedJan-25</v>
      </c>
      <c r="B23561" s="171" t="s">
        <v>46477</v>
      </c>
      <c r="C23561" s="171" t="s">
        <v>16232</v>
      </c>
      <c r="D23561" s="171" t="s">
        <v>4</v>
      </c>
      <c r="E23561" s="11">
        <v>45658</v>
      </c>
      <c r="F23561">
        <v>2.5</v>
      </c>
      <c r="G23561">
        <v>3.5</v>
      </c>
      <c r="I23561">
        <v>11</v>
      </c>
      <c r="J23561">
        <v>15</v>
      </c>
      <c r="L23561">
        <v>21</v>
      </c>
      <c r="N23561">
        <v>10</v>
      </c>
      <c r="P23561">
        <v>0</v>
      </c>
      <c r="Q23561">
        <v>0</v>
      </c>
      <c r="S23561">
        <v>1</v>
      </c>
    </row>
    <row r="23562" spans="1:19" x14ac:dyDescent="0.3">
      <c r="A23562" t="str">
        <f t="shared" si="32"/>
        <v>LESTF-CBT CombinedJan-25</v>
      </c>
      <c r="B23562" s="171" t="s">
        <v>46478</v>
      </c>
      <c r="C23562" s="171" t="s">
        <v>16557</v>
      </c>
      <c r="D23562" s="171" t="s">
        <v>4</v>
      </c>
      <c r="E23562" s="11">
        <v>45658</v>
      </c>
      <c r="F23562">
        <v>0</v>
      </c>
      <c r="G23562">
        <v>0</v>
      </c>
      <c r="I23562">
        <v>0</v>
      </c>
      <c r="J23562">
        <v>0</v>
      </c>
      <c r="L23562">
        <v>0</v>
      </c>
      <c r="N23562">
        <v>0</v>
      </c>
      <c r="P23562">
        <v>0</v>
      </c>
      <c r="Q23562">
        <v>0</v>
      </c>
      <c r="S23562">
        <v>0</v>
      </c>
    </row>
    <row r="23563" spans="1:19" x14ac:dyDescent="0.3">
      <c r="A23563" t="str">
        <f t="shared" si="32"/>
        <v>MD Family ResourcesTF-CBT CombinedJan-25</v>
      </c>
      <c r="B23563" s="171" t="s">
        <v>46479</v>
      </c>
      <c r="C23563" s="171" t="s">
        <v>188</v>
      </c>
      <c r="D23563" s="171" t="s">
        <v>4</v>
      </c>
      <c r="E23563" s="11">
        <v>45658</v>
      </c>
      <c r="F23563">
        <v>2</v>
      </c>
      <c r="G23563">
        <v>3.5</v>
      </c>
      <c r="I23563">
        <v>4</v>
      </c>
      <c r="J23563">
        <v>11</v>
      </c>
      <c r="L23563">
        <v>20</v>
      </c>
      <c r="N23563">
        <v>3</v>
      </c>
      <c r="P23563">
        <v>0</v>
      </c>
      <c r="Q23563">
        <v>1</v>
      </c>
      <c r="S23563">
        <v>1</v>
      </c>
    </row>
    <row r="23564" spans="1:19" x14ac:dyDescent="0.3">
      <c r="A23564" t="str">
        <f t="shared" si="32"/>
        <v>UniversalTF-CBT CombinedJan-25</v>
      </c>
      <c r="B23564" s="171" t="s">
        <v>46480</v>
      </c>
      <c r="C23564" s="171" t="s">
        <v>227</v>
      </c>
      <c r="D23564" s="171" t="s">
        <v>4</v>
      </c>
      <c r="E23564" s="11">
        <v>45658</v>
      </c>
      <c r="F23564">
        <v>0</v>
      </c>
      <c r="G23564">
        <v>0</v>
      </c>
      <c r="I23564">
        <v>0</v>
      </c>
      <c r="J23564">
        <v>0</v>
      </c>
      <c r="L23564">
        <v>0</v>
      </c>
      <c r="N23564">
        <v>0</v>
      </c>
      <c r="P23564">
        <v>0</v>
      </c>
      <c r="Q23564">
        <v>0</v>
      </c>
      <c r="S23564">
        <v>0</v>
      </c>
    </row>
    <row r="23565" spans="1:19" x14ac:dyDescent="0.3">
      <c r="A23565" t="str">
        <f t="shared" si="32"/>
        <v>Community ConnectionsTIP CombinedJan-25</v>
      </c>
      <c r="B23565" s="171" t="s">
        <v>46481</v>
      </c>
      <c r="C23565" s="171" t="s">
        <v>116</v>
      </c>
      <c r="D23565" s="171" t="s">
        <v>4</v>
      </c>
      <c r="E23565" s="11">
        <v>45658</v>
      </c>
      <c r="F23565">
        <v>0</v>
      </c>
      <c r="G23565">
        <v>0</v>
      </c>
      <c r="I23565">
        <v>0</v>
      </c>
      <c r="J23565">
        <v>0</v>
      </c>
      <c r="L23565">
        <v>0</v>
      </c>
      <c r="N23565">
        <v>0</v>
      </c>
      <c r="P23565">
        <v>0</v>
      </c>
      <c r="Q23565">
        <v>0</v>
      </c>
      <c r="S23565">
        <v>0</v>
      </c>
    </row>
    <row r="23566" spans="1:19" x14ac:dyDescent="0.3">
      <c r="A23566" t="str">
        <f t="shared" si="32"/>
        <v>ContemporaryTIP CombinedJan-25</v>
      </c>
      <c r="B23566" s="171" t="s">
        <v>46482</v>
      </c>
      <c r="C23566" s="171" t="s">
        <v>9862</v>
      </c>
      <c r="D23566" s="171" t="s">
        <v>4</v>
      </c>
      <c r="E23566" s="11">
        <v>45658</v>
      </c>
      <c r="F23566">
        <v>0</v>
      </c>
      <c r="G23566">
        <v>0</v>
      </c>
      <c r="I23566">
        <v>0</v>
      </c>
      <c r="J23566">
        <v>0</v>
      </c>
      <c r="L23566">
        <v>0</v>
      </c>
      <c r="N23566">
        <v>0</v>
      </c>
      <c r="P23566">
        <v>0</v>
      </c>
      <c r="Q23566">
        <v>0</v>
      </c>
      <c r="S23566">
        <v>0</v>
      </c>
    </row>
    <row r="23567" spans="1:19" x14ac:dyDescent="0.3">
      <c r="A23567" t="str">
        <f t="shared" si="32"/>
        <v>FPSTIP CombinedJan-25</v>
      </c>
      <c r="B23567" s="171" t="s">
        <v>46483</v>
      </c>
      <c r="C23567" s="171" t="s">
        <v>140</v>
      </c>
      <c r="D23567" s="171" t="s">
        <v>4</v>
      </c>
      <c r="E23567" s="11">
        <v>45658</v>
      </c>
      <c r="F23567">
        <v>0</v>
      </c>
      <c r="G23567">
        <v>0</v>
      </c>
      <c r="I23567">
        <v>0</v>
      </c>
      <c r="J23567">
        <v>0</v>
      </c>
      <c r="L23567">
        <v>0</v>
      </c>
      <c r="N23567">
        <v>0</v>
      </c>
      <c r="P23567">
        <v>0</v>
      </c>
      <c r="Q23567">
        <v>0</v>
      </c>
      <c r="S23567">
        <v>0</v>
      </c>
    </row>
    <row r="23568" spans="1:19" x14ac:dyDescent="0.3">
      <c r="A23568" t="str">
        <f t="shared" si="32"/>
        <v>Green DoorTIP CombinedJan-25</v>
      </c>
      <c r="B23568" s="171" t="s">
        <v>46484</v>
      </c>
      <c r="C23568" s="171" t="s">
        <v>8590</v>
      </c>
      <c r="D23568" s="171" t="s">
        <v>4</v>
      </c>
      <c r="E23568" s="11">
        <v>45658</v>
      </c>
      <c r="F23568">
        <v>0</v>
      </c>
      <c r="G23568">
        <v>0</v>
      </c>
      <c r="I23568">
        <v>0</v>
      </c>
      <c r="J23568">
        <v>0</v>
      </c>
      <c r="L23568">
        <v>0</v>
      </c>
      <c r="N23568">
        <v>0</v>
      </c>
      <c r="P23568">
        <v>0</v>
      </c>
      <c r="Q23568">
        <v>0</v>
      </c>
      <c r="S23568">
        <v>0</v>
      </c>
    </row>
    <row r="23569" spans="1:19" x14ac:dyDescent="0.3">
      <c r="A23569" t="str">
        <f t="shared" si="32"/>
        <v>LESTIP CombinedJan-25</v>
      </c>
      <c r="B23569" s="171" t="s">
        <v>46485</v>
      </c>
      <c r="C23569" s="171" t="s">
        <v>170</v>
      </c>
      <c r="D23569" s="171" t="s">
        <v>4</v>
      </c>
      <c r="E23569" s="11">
        <v>45658</v>
      </c>
      <c r="F23569">
        <v>2.5</v>
      </c>
      <c r="G23569">
        <v>2.5</v>
      </c>
      <c r="I23569">
        <v>11</v>
      </c>
      <c r="J23569">
        <v>35</v>
      </c>
      <c r="L23569">
        <v>35</v>
      </c>
      <c r="N23569">
        <v>11</v>
      </c>
      <c r="P23569">
        <v>0</v>
      </c>
      <c r="Q23569">
        <v>0</v>
      </c>
      <c r="S23569">
        <v>0</v>
      </c>
    </row>
    <row r="23570" spans="1:19" x14ac:dyDescent="0.3">
      <c r="A23570" t="str">
        <f t="shared" si="32"/>
        <v>MBI HSTIP CombinedJan-25</v>
      </c>
      <c r="B23570" s="171" t="s">
        <v>46486</v>
      </c>
      <c r="C23570" s="171" t="s">
        <v>182</v>
      </c>
      <c r="D23570" s="171" t="s">
        <v>4</v>
      </c>
      <c r="E23570" s="11">
        <v>45658</v>
      </c>
      <c r="F23570">
        <v>7</v>
      </c>
      <c r="G23570">
        <v>9</v>
      </c>
      <c r="I23570">
        <v>39</v>
      </c>
      <c r="J23570">
        <v>80</v>
      </c>
      <c r="L23570">
        <v>102</v>
      </c>
      <c r="N23570">
        <v>39</v>
      </c>
      <c r="P23570">
        <v>1</v>
      </c>
      <c r="Q23570">
        <v>1</v>
      </c>
      <c r="S23570">
        <v>0</v>
      </c>
    </row>
    <row r="23571" spans="1:19" x14ac:dyDescent="0.3">
      <c r="A23571" t="str">
        <f t="shared" si="32"/>
        <v>PASSTIP CombinedJan-25</v>
      </c>
      <c r="B23571" s="171" t="s">
        <v>46487</v>
      </c>
      <c r="C23571" s="171" t="s">
        <v>197</v>
      </c>
      <c r="D23571" s="171" t="s">
        <v>4</v>
      </c>
      <c r="E23571" s="11">
        <v>45658</v>
      </c>
      <c r="F23571">
        <v>7.5</v>
      </c>
      <c r="G23571">
        <v>8</v>
      </c>
      <c r="I23571">
        <v>89</v>
      </c>
      <c r="J23571">
        <v>75</v>
      </c>
      <c r="L23571">
        <v>80</v>
      </c>
      <c r="N23571">
        <v>70</v>
      </c>
      <c r="P23571">
        <v>5</v>
      </c>
      <c r="Q23571">
        <v>7</v>
      </c>
      <c r="S23571">
        <v>19</v>
      </c>
    </row>
    <row r="23572" spans="1:19" x14ac:dyDescent="0.3">
      <c r="A23572" t="str">
        <f t="shared" si="32"/>
        <v>TFCCTIP CombinedJan-25</v>
      </c>
      <c r="B23572" s="171" t="s">
        <v>46488</v>
      </c>
      <c r="C23572" s="171" t="s">
        <v>218</v>
      </c>
      <c r="D23572" s="171" t="s">
        <v>4</v>
      </c>
      <c r="E23572" s="11">
        <v>45658</v>
      </c>
      <c r="F23572">
        <v>0</v>
      </c>
      <c r="G23572">
        <v>0</v>
      </c>
      <c r="I23572">
        <v>0</v>
      </c>
      <c r="J23572">
        <v>0</v>
      </c>
      <c r="L23572">
        <v>0</v>
      </c>
      <c r="N23572">
        <v>0</v>
      </c>
      <c r="P23572">
        <v>0</v>
      </c>
      <c r="Q23572">
        <v>0</v>
      </c>
      <c r="S23572">
        <v>0</v>
      </c>
    </row>
    <row r="23573" spans="1:19" x14ac:dyDescent="0.3">
      <c r="A23573" t="str">
        <f t="shared" si="32"/>
        <v>UmbrellaTIP CombinedJan-25</v>
      </c>
      <c r="B23573" s="171" t="s">
        <v>46489</v>
      </c>
      <c r="C23573" s="171" t="s">
        <v>34871</v>
      </c>
      <c r="D23573" s="171" t="s">
        <v>4</v>
      </c>
      <c r="E23573" s="11">
        <v>45658</v>
      </c>
      <c r="F23573">
        <v>6</v>
      </c>
      <c r="G23573">
        <v>6</v>
      </c>
      <c r="I23573">
        <v>33</v>
      </c>
      <c r="J23573">
        <v>66</v>
      </c>
      <c r="L23573">
        <v>66</v>
      </c>
      <c r="N23573">
        <v>33</v>
      </c>
      <c r="P23573">
        <v>0</v>
      </c>
      <c r="Q23573">
        <v>0</v>
      </c>
      <c r="S23573">
        <v>0</v>
      </c>
    </row>
    <row r="23574" spans="1:19" x14ac:dyDescent="0.3">
      <c r="A23574" t="str">
        <f t="shared" si="32"/>
        <v>UniversalTIP CombinedJan-25</v>
      </c>
      <c r="B23574" s="171" t="s">
        <v>46490</v>
      </c>
      <c r="C23574" s="171" t="s">
        <v>230</v>
      </c>
      <c r="D23574" s="171" t="s">
        <v>4</v>
      </c>
      <c r="E23574" s="11">
        <v>45658</v>
      </c>
      <c r="F23574">
        <v>0</v>
      </c>
      <c r="G23574">
        <v>0</v>
      </c>
      <c r="I23574">
        <v>0</v>
      </c>
      <c r="J23574">
        <v>0</v>
      </c>
      <c r="L23574">
        <v>0</v>
      </c>
      <c r="N23574">
        <v>0</v>
      </c>
      <c r="P23574">
        <v>0</v>
      </c>
      <c r="Q23574">
        <v>0</v>
      </c>
      <c r="S23574">
        <v>0</v>
      </c>
    </row>
    <row r="23575" spans="1:19" x14ac:dyDescent="0.3">
      <c r="A23575" t="str">
        <f t="shared" si="32"/>
        <v>Wayne PlaceTIP CombinedJan-25</v>
      </c>
      <c r="B23575" s="171" t="s">
        <v>46491</v>
      </c>
      <c r="C23575" s="171" t="s">
        <v>8193</v>
      </c>
      <c r="D23575" s="171" t="s">
        <v>4</v>
      </c>
      <c r="E23575" s="11">
        <v>45658</v>
      </c>
      <c r="F23575">
        <v>2</v>
      </c>
      <c r="G23575">
        <v>3</v>
      </c>
      <c r="I23575">
        <v>7</v>
      </c>
      <c r="J23575">
        <v>22</v>
      </c>
      <c r="L23575">
        <v>33</v>
      </c>
      <c r="N23575">
        <v>7</v>
      </c>
      <c r="P23575">
        <v>0</v>
      </c>
      <c r="Q23575">
        <v>0</v>
      </c>
      <c r="S23575">
        <v>0</v>
      </c>
    </row>
    <row r="23576" spans="1:19" x14ac:dyDescent="0.3">
      <c r="A23576" t="str">
        <f t="shared" si="32"/>
        <v>Adoptions TogetherTST CombinedJan-25</v>
      </c>
      <c r="B23576" s="171" t="s">
        <v>46492</v>
      </c>
      <c r="C23576" s="171" t="s">
        <v>10522</v>
      </c>
      <c r="D23576" s="171" t="s">
        <v>4</v>
      </c>
      <c r="E23576" s="11">
        <v>45658</v>
      </c>
      <c r="F23576">
        <v>0</v>
      </c>
      <c r="G23576">
        <v>0</v>
      </c>
      <c r="I23576">
        <v>0</v>
      </c>
      <c r="J23576">
        <v>0</v>
      </c>
      <c r="L23576">
        <v>0</v>
      </c>
      <c r="N23576">
        <v>0</v>
      </c>
      <c r="P23576">
        <v>0</v>
      </c>
      <c r="Q23576">
        <v>0</v>
      </c>
      <c r="S23576">
        <v>0</v>
      </c>
    </row>
    <row r="23577" spans="1:19" x14ac:dyDescent="0.3">
      <c r="A23577" t="str">
        <f t="shared" si="32"/>
        <v>ContemporaryTST CombinedJan-25</v>
      </c>
      <c r="B23577" s="171" t="s">
        <v>46493</v>
      </c>
      <c r="C23577" s="171" t="s">
        <v>10525</v>
      </c>
      <c r="D23577" s="171" t="s">
        <v>4</v>
      </c>
      <c r="E23577" s="11">
        <v>45658</v>
      </c>
      <c r="F23577">
        <v>0</v>
      </c>
      <c r="G23577">
        <v>0</v>
      </c>
      <c r="I23577">
        <v>0</v>
      </c>
      <c r="J23577">
        <v>0</v>
      </c>
      <c r="L23577">
        <v>0</v>
      </c>
      <c r="N23577">
        <v>0</v>
      </c>
      <c r="P23577">
        <v>0</v>
      </c>
      <c r="Q23577">
        <v>0</v>
      </c>
      <c r="S23577">
        <v>0</v>
      </c>
    </row>
    <row r="23578" spans="1:19" x14ac:dyDescent="0.3">
      <c r="A23578" t="str">
        <f t="shared" si="32"/>
        <v>Family MattersTST CombinedJan-25</v>
      </c>
      <c r="B23578" s="171" t="s">
        <v>46494</v>
      </c>
      <c r="C23578" s="171" t="s">
        <v>10528</v>
      </c>
      <c r="D23578" s="171" t="s">
        <v>4</v>
      </c>
      <c r="E23578" s="11">
        <v>45658</v>
      </c>
      <c r="F23578">
        <v>0</v>
      </c>
      <c r="G23578">
        <v>0</v>
      </c>
      <c r="I23578">
        <v>0</v>
      </c>
      <c r="J23578">
        <v>0</v>
      </c>
      <c r="L23578">
        <v>0</v>
      </c>
      <c r="N23578">
        <v>0</v>
      </c>
      <c r="P23578">
        <v>0</v>
      </c>
      <c r="Q23578">
        <v>0</v>
      </c>
      <c r="S23578">
        <v>0</v>
      </c>
    </row>
    <row r="23579" spans="1:19" x14ac:dyDescent="0.3">
      <c r="A23579" t="str">
        <f t="shared" si="32"/>
        <v>First Home CareTST CombinedJan-25</v>
      </c>
      <c r="B23579" s="171" t="s">
        <v>46495</v>
      </c>
      <c r="C23579" s="171" t="s">
        <v>10531</v>
      </c>
      <c r="D23579" s="171" t="s">
        <v>4</v>
      </c>
      <c r="E23579" s="11">
        <v>45658</v>
      </c>
      <c r="F23579">
        <v>0</v>
      </c>
      <c r="G23579">
        <v>0</v>
      </c>
      <c r="I23579">
        <v>0</v>
      </c>
      <c r="J23579">
        <v>0</v>
      </c>
      <c r="L23579">
        <v>0</v>
      </c>
      <c r="N23579">
        <v>0</v>
      </c>
      <c r="P23579">
        <v>0</v>
      </c>
      <c r="Q23579">
        <v>0</v>
      </c>
      <c r="S23579">
        <v>0</v>
      </c>
    </row>
    <row r="23580" spans="1:19" x14ac:dyDescent="0.3">
      <c r="A23580" t="str">
        <f t="shared" si="32"/>
        <v>Foundations for Home &amp; CommunityTST CombinedJan-25</v>
      </c>
      <c r="B23580" s="171" t="s">
        <v>46496</v>
      </c>
      <c r="C23580" s="171" t="s">
        <v>14880</v>
      </c>
      <c r="D23580" s="171" t="s">
        <v>4</v>
      </c>
      <c r="E23580" s="11">
        <v>45658</v>
      </c>
      <c r="F23580">
        <v>0</v>
      </c>
      <c r="G23580">
        <v>0</v>
      </c>
      <c r="I23580">
        <v>0</v>
      </c>
      <c r="J23580">
        <v>0</v>
      </c>
      <c r="L23580">
        <v>0</v>
      </c>
      <c r="N23580">
        <v>0</v>
      </c>
      <c r="P23580">
        <v>0</v>
      </c>
      <c r="Q23580">
        <v>0</v>
      </c>
      <c r="S23580">
        <v>0</v>
      </c>
    </row>
    <row r="23581" spans="1:19" x14ac:dyDescent="0.3">
      <c r="A23581" t="str">
        <f t="shared" si="32"/>
        <v>HillcrestTST CombinedJan-25</v>
      </c>
      <c r="B23581" s="171" t="s">
        <v>46497</v>
      </c>
      <c r="C23581" s="171" t="s">
        <v>10534</v>
      </c>
      <c r="D23581" s="171" t="s">
        <v>4</v>
      </c>
      <c r="E23581" s="11">
        <v>45658</v>
      </c>
      <c r="F23581">
        <v>1</v>
      </c>
      <c r="G23581">
        <v>1.5</v>
      </c>
      <c r="I23581">
        <v>3</v>
      </c>
      <c r="J23581">
        <v>5</v>
      </c>
      <c r="L23581">
        <v>8</v>
      </c>
      <c r="N23581">
        <v>3</v>
      </c>
      <c r="P23581">
        <v>0</v>
      </c>
      <c r="Q23581">
        <v>0</v>
      </c>
      <c r="S23581">
        <v>0</v>
      </c>
    </row>
    <row r="23582" spans="1:19" x14ac:dyDescent="0.3">
      <c r="A23582" t="str">
        <f t="shared" si="32"/>
        <v>MD Family ResourcesTST CombinedJan-25</v>
      </c>
      <c r="B23582" s="171" t="s">
        <v>46498</v>
      </c>
      <c r="C23582" s="171" t="s">
        <v>10537</v>
      </c>
      <c r="D23582" s="171" t="s">
        <v>4</v>
      </c>
      <c r="E23582" s="11">
        <v>45658</v>
      </c>
      <c r="F23582">
        <v>0</v>
      </c>
      <c r="G23582">
        <v>1</v>
      </c>
      <c r="I23582">
        <v>0</v>
      </c>
      <c r="J23582">
        <v>0</v>
      </c>
      <c r="L23582">
        <v>6</v>
      </c>
      <c r="N23582">
        <v>0</v>
      </c>
      <c r="P23582">
        <v>0</v>
      </c>
      <c r="Q23582">
        <v>0</v>
      </c>
      <c r="S23582">
        <v>0</v>
      </c>
    </row>
    <row r="23583" spans="1:19" x14ac:dyDescent="0.3">
      <c r="A23583" t="str">
        <f t="shared" si="32"/>
        <v>Marys CenterCPP-FV CombinedJan-25</v>
      </c>
      <c r="B23583" s="171" t="s">
        <v>46499</v>
      </c>
      <c r="C23583" s="171" t="s">
        <v>15347</v>
      </c>
      <c r="D23583" s="171" t="s">
        <v>4</v>
      </c>
      <c r="E23583" s="11">
        <v>45658</v>
      </c>
      <c r="F23583">
        <v>1.5</v>
      </c>
      <c r="G23583">
        <v>2.5</v>
      </c>
      <c r="I23583">
        <v>7</v>
      </c>
      <c r="J23583">
        <v>9</v>
      </c>
      <c r="L23583">
        <v>15</v>
      </c>
      <c r="N23583">
        <v>7</v>
      </c>
      <c r="P23583">
        <v>0</v>
      </c>
      <c r="Q23583">
        <v>0</v>
      </c>
      <c r="S23583">
        <v>0</v>
      </c>
    </row>
    <row r="23584" spans="1:19" x14ac:dyDescent="0.3">
      <c r="A23584" t="str">
        <f t="shared" ref="A23584:A23647" si="33">C23584&amp;" "&amp;D23584&amp;"Jan-25"</f>
        <v>PIECECPP-FV CombinedJan-25</v>
      </c>
      <c r="B23584" s="171" t="s">
        <v>46500</v>
      </c>
      <c r="C23584" s="171" t="s">
        <v>203</v>
      </c>
      <c r="D23584" s="171" t="s">
        <v>4</v>
      </c>
      <c r="E23584" s="11">
        <v>45658</v>
      </c>
      <c r="F23584">
        <v>3</v>
      </c>
      <c r="G23584">
        <v>2.5</v>
      </c>
      <c r="I23584">
        <v>4</v>
      </c>
      <c r="J23584">
        <v>15</v>
      </c>
      <c r="L23584">
        <v>13</v>
      </c>
      <c r="N23584">
        <v>4</v>
      </c>
      <c r="P23584">
        <v>0</v>
      </c>
      <c r="Q23584">
        <v>0</v>
      </c>
      <c r="S23584">
        <v>0</v>
      </c>
    </row>
    <row r="23585" spans="1:19" x14ac:dyDescent="0.3">
      <c r="A23585" t="str">
        <f t="shared" si="33"/>
        <v>Community ConnectionsCPP-FV CombinedJan-25</v>
      </c>
      <c r="B23585" s="171" t="s">
        <v>46501</v>
      </c>
      <c r="C23585" s="171" t="s">
        <v>15340</v>
      </c>
      <c r="D23585" s="171" t="s">
        <v>4</v>
      </c>
      <c r="E23585" s="11">
        <v>45658</v>
      </c>
      <c r="F23585">
        <v>0</v>
      </c>
      <c r="G23585">
        <v>0</v>
      </c>
      <c r="I23585">
        <v>0</v>
      </c>
      <c r="J23585">
        <v>0</v>
      </c>
      <c r="L23585">
        <v>0</v>
      </c>
      <c r="N23585">
        <v>0</v>
      </c>
      <c r="P23585">
        <v>0</v>
      </c>
      <c r="Q23585">
        <v>0</v>
      </c>
      <c r="S23585">
        <v>0</v>
      </c>
    </row>
    <row r="23586" spans="1:19" x14ac:dyDescent="0.3">
      <c r="A23586" t="str">
        <f t="shared" si="33"/>
        <v>Community ConnectionsPCIT CombinedJan-25</v>
      </c>
      <c r="B23586" s="171" t="s">
        <v>46502</v>
      </c>
      <c r="C23586" s="171" t="s">
        <v>16544</v>
      </c>
      <c r="D23586" s="171" t="s">
        <v>4</v>
      </c>
      <c r="E23586" s="11">
        <v>45658</v>
      </c>
      <c r="F23586">
        <v>0</v>
      </c>
      <c r="G23586">
        <v>0</v>
      </c>
      <c r="I23586">
        <v>0</v>
      </c>
      <c r="J23586">
        <v>0</v>
      </c>
      <c r="L23586">
        <v>0</v>
      </c>
      <c r="N23586">
        <v>0</v>
      </c>
      <c r="P23586">
        <v>0</v>
      </c>
      <c r="Q23586">
        <v>0</v>
      </c>
      <c r="S23586">
        <v>0</v>
      </c>
    </row>
    <row r="23587" spans="1:19" x14ac:dyDescent="0.3">
      <c r="A23587" t="str">
        <f t="shared" si="33"/>
        <v>Marys CenterPCIT CombinedJan-25</v>
      </c>
      <c r="B23587" s="171" t="s">
        <v>46503</v>
      </c>
      <c r="C23587" s="171" t="s">
        <v>176</v>
      </c>
      <c r="D23587" s="171" t="s">
        <v>4</v>
      </c>
      <c r="E23587" s="11">
        <v>45658</v>
      </c>
      <c r="F23587">
        <v>1.5</v>
      </c>
      <c r="G23587">
        <v>2</v>
      </c>
      <c r="I23587">
        <v>1</v>
      </c>
      <c r="J23587">
        <v>8</v>
      </c>
      <c r="L23587">
        <v>11</v>
      </c>
      <c r="N23587">
        <v>1</v>
      </c>
      <c r="P23587">
        <v>0</v>
      </c>
      <c r="Q23587">
        <v>0</v>
      </c>
      <c r="S23587">
        <v>0</v>
      </c>
    </row>
    <row r="23588" spans="1:19" x14ac:dyDescent="0.3">
      <c r="A23588" t="str">
        <f t="shared" si="33"/>
        <v>PIECEPCIT CombinedJan-25</v>
      </c>
      <c r="B23588" s="171" t="s">
        <v>46504</v>
      </c>
      <c r="C23588" s="171" t="s">
        <v>206</v>
      </c>
      <c r="D23588" s="171" t="s">
        <v>4</v>
      </c>
      <c r="E23588" s="11">
        <v>45658</v>
      </c>
      <c r="F23588">
        <v>1.5</v>
      </c>
      <c r="G23588">
        <v>1.5</v>
      </c>
      <c r="I23588">
        <v>1</v>
      </c>
      <c r="J23588">
        <v>7</v>
      </c>
      <c r="L23588">
        <v>7</v>
      </c>
      <c r="N23588">
        <v>1</v>
      </c>
      <c r="P23588">
        <v>0</v>
      </c>
      <c r="Q23588">
        <v>0</v>
      </c>
      <c r="S23588">
        <v>0</v>
      </c>
    </row>
    <row r="23589" spans="1:19" x14ac:dyDescent="0.3">
      <c r="A23589" t="str">
        <f t="shared" si="33"/>
        <v>Better MorningsFFT FFJan-25</v>
      </c>
      <c r="B23589" s="171" t="s">
        <v>46390</v>
      </c>
      <c r="C23589" s="171" t="s">
        <v>24284</v>
      </c>
      <c r="D23589" s="171" t="s">
        <v>80</v>
      </c>
      <c r="E23589" s="11">
        <v>45658</v>
      </c>
      <c r="F23589">
        <v>7</v>
      </c>
      <c r="G23589">
        <v>7</v>
      </c>
      <c r="I23589">
        <v>26</v>
      </c>
      <c r="J23589">
        <v>33</v>
      </c>
      <c r="L23589">
        <v>33</v>
      </c>
      <c r="N23589">
        <v>19</v>
      </c>
      <c r="P23589">
        <v>0</v>
      </c>
      <c r="Q23589">
        <v>0</v>
      </c>
      <c r="S23589">
        <v>7</v>
      </c>
    </row>
    <row r="23590" spans="1:19" x14ac:dyDescent="0.3">
      <c r="A23590" t="str">
        <f t="shared" si="33"/>
        <v>CatholicAll FFJan-25</v>
      </c>
      <c r="B23590" s="171" t="s">
        <v>46505</v>
      </c>
      <c r="C23590" s="171" t="s">
        <v>18229</v>
      </c>
      <c r="D23590" s="171" t="s">
        <v>80</v>
      </c>
      <c r="E23590" s="11">
        <v>45658</v>
      </c>
      <c r="F23590">
        <v>0</v>
      </c>
      <c r="G23590">
        <v>0</v>
      </c>
      <c r="I23590">
        <v>0</v>
      </c>
      <c r="J23590">
        <v>0</v>
      </c>
      <c r="L23590">
        <v>0</v>
      </c>
      <c r="N23590">
        <v>0</v>
      </c>
      <c r="P23590">
        <v>0</v>
      </c>
      <c r="Q23590">
        <v>0</v>
      </c>
      <c r="S23590">
        <v>0</v>
      </c>
    </row>
    <row r="23591" spans="1:19" x14ac:dyDescent="0.3">
      <c r="A23591" t="str">
        <f t="shared" si="33"/>
        <v>ContemporaryAll FFJan-25</v>
      </c>
      <c r="B23591" s="171" t="s">
        <v>46506</v>
      </c>
      <c r="C23591" s="171" t="s">
        <v>9887</v>
      </c>
      <c r="D23591" s="171" t="s">
        <v>80</v>
      </c>
      <c r="E23591" s="11">
        <v>45658</v>
      </c>
      <c r="F23591">
        <v>0</v>
      </c>
      <c r="G23591">
        <v>0</v>
      </c>
      <c r="I23591">
        <v>0</v>
      </c>
      <c r="J23591">
        <v>0</v>
      </c>
      <c r="L23591">
        <v>0</v>
      </c>
      <c r="N23591">
        <v>0</v>
      </c>
      <c r="P23591">
        <v>0</v>
      </c>
      <c r="Q23591">
        <v>0</v>
      </c>
      <c r="S23591">
        <v>0</v>
      </c>
    </row>
    <row r="23592" spans="1:19" x14ac:dyDescent="0.3">
      <c r="A23592" t="str">
        <f t="shared" si="33"/>
        <v>DBH Parent SupportAll FFJan-25</v>
      </c>
      <c r="B23592" s="171" t="s">
        <v>46507</v>
      </c>
      <c r="C23592" s="171" t="s">
        <v>35010</v>
      </c>
      <c r="D23592" s="171" t="s">
        <v>80</v>
      </c>
      <c r="E23592" s="11">
        <v>45658</v>
      </c>
      <c r="F23592">
        <v>0</v>
      </c>
      <c r="G23592">
        <v>0</v>
      </c>
      <c r="I23592">
        <v>0</v>
      </c>
      <c r="J23592">
        <v>0</v>
      </c>
      <c r="L23592">
        <v>0</v>
      </c>
      <c r="N23592">
        <v>0</v>
      </c>
      <c r="P23592">
        <v>0</v>
      </c>
      <c r="Q23592">
        <v>0</v>
      </c>
      <c r="S23592">
        <v>0</v>
      </c>
    </row>
    <row r="23593" spans="1:19" x14ac:dyDescent="0.3">
      <c r="A23593" t="str">
        <f t="shared" si="33"/>
        <v>Family MattersAll FFJan-25</v>
      </c>
      <c r="B23593" s="171" t="s">
        <v>46508</v>
      </c>
      <c r="C23593" s="171" t="s">
        <v>11260</v>
      </c>
      <c r="D23593" s="171" t="s">
        <v>80</v>
      </c>
      <c r="E23593" s="11">
        <v>45658</v>
      </c>
      <c r="F23593">
        <v>0</v>
      </c>
      <c r="G23593">
        <v>0</v>
      </c>
      <c r="I23593">
        <v>0</v>
      </c>
      <c r="J23593">
        <v>0</v>
      </c>
      <c r="L23593">
        <v>0</v>
      </c>
      <c r="N23593">
        <v>0</v>
      </c>
      <c r="P23593">
        <v>0</v>
      </c>
      <c r="Q23593">
        <v>0</v>
      </c>
      <c r="S23593">
        <v>0</v>
      </c>
    </row>
    <row r="23594" spans="1:19" x14ac:dyDescent="0.3">
      <c r="A23594" t="str">
        <f t="shared" si="33"/>
        <v>Federal City All FFJan-25</v>
      </c>
      <c r="B23594" s="171" t="s">
        <v>46509</v>
      </c>
      <c r="C23594" s="171" t="s">
        <v>21284</v>
      </c>
      <c r="D23594" s="171" t="s">
        <v>80</v>
      </c>
      <c r="E23594" s="11">
        <v>45658</v>
      </c>
      <c r="F23594">
        <v>0</v>
      </c>
      <c r="G23594">
        <v>0</v>
      </c>
      <c r="I23594">
        <v>0</v>
      </c>
      <c r="J23594">
        <v>0</v>
      </c>
      <c r="L23594">
        <v>0</v>
      </c>
      <c r="N23594">
        <v>0</v>
      </c>
      <c r="P23594">
        <v>0</v>
      </c>
      <c r="Q23594">
        <v>0</v>
      </c>
      <c r="S23594">
        <v>0</v>
      </c>
    </row>
    <row r="23595" spans="1:19" x14ac:dyDescent="0.3">
      <c r="A23595" t="str">
        <f t="shared" si="33"/>
        <v>First Home CareAll FFJan-25</v>
      </c>
      <c r="B23595" s="171" t="s">
        <v>46510</v>
      </c>
      <c r="C23595" s="171" t="s">
        <v>125</v>
      </c>
      <c r="D23595" s="171" t="s">
        <v>80</v>
      </c>
      <c r="E23595" s="11">
        <v>45658</v>
      </c>
      <c r="F23595">
        <v>0</v>
      </c>
      <c r="G23595">
        <v>0</v>
      </c>
      <c r="I23595">
        <v>0</v>
      </c>
      <c r="J23595">
        <v>0</v>
      </c>
      <c r="L23595">
        <v>0</v>
      </c>
      <c r="N23595">
        <v>0</v>
      </c>
      <c r="P23595">
        <v>0</v>
      </c>
      <c r="Q23595">
        <v>0</v>
      </c>
      <c r="S23595">
        <v>0</v>
      </c>
    </row>
    <row r="23596" spans="1:19" x14ac:dyDescent="0.3">
      <c r="A23596" t="str">
        <f t="shared" si="33"/>
        <v>Foundations for Home &amp; CommunityAll FFJan-25</v>
      </c>
      <c r="B23596" s="171" t="s">
        <v>46511</v>
      </c>
      <c r="C23596" s="171" t="s">
        <v>14899</v>
      </c>
      <c r="D23596" s="171" t="s">
        <v>80</v>
      </c>
      <c r="E23596" s="11">
        <v>45658</v>
      </c>
      <c r="F23596">
        <v>0</v>
      </c>
      <c r="G23596">
        <v>0</v>
      </c>
      <c r="I23596">
        <v>0</v>
      </c>
      <c r="J23596">
        <v>0</v>
      </c>
      <c r="L23596">
        <v>0</v>
      </c>
      <c r="N23596">
        <v>0</v>
      </c>
      <c r="P23596">
        <v>0</v>
      </c>
      <c r="Q23596">
        <v>0</v>
      </c>
      <c r="S23596">
        <v>0</v>
      </c>
    </row>
    <row r="23597" spans="1:19" x14ac:dyDescent="0.3">
      <c r="A23597" t="str">
        <f t="shared" si="33"/>
        <v>FPSAll FFJan-25</v>
      </c>
      <c r="B23597" s="171" t="s">
        <v>46512</v>
      </c>
      <c r="C23597" s="171" t="s">
        <v>137</v>
      </c>
      <c r="D23597" s="171" t="s">
        <v>80</v>
      </c>
      <c r="E23597" s="11">
        <v>45658</v>
      </c>
      <c r="F23597">
        <v>0</v>
      </c>
      <c r="G23597">
        <v>0</v>
      </c>
      <c r="I23597">
        <v>0</v>
      </c>
      <c r="J23597">
        <v>0</v>
      </c>
      <c r="L23597">
        <v>0</v>
      </c>
      <c r="N23597">
        <v>0</v>
      </c>
      <c r="P23597">
        <v>0</v>
      </c>
      <c r="Q23597">
        <v>0</v>
      </c>
      <c r="S23597">
        <v>0</v>
      </c>
    </row>
    <row r="23598" spans="1:19" x14ac:dyDescent="0.3">
      <c r="A23598" t="str">
        <f t="shared" si="33"/>
        <v>Green DoorAll FFJan-25</v>
      </c>
      <c r="B23598" s="171" t="s">
        <v>46513</v>
      </c>
      <c r="C23598" s="171" t="s">
        <v>8615</v>
      </c>
      <c r="D23598" s="171" t="s">
        <v>80</v>
      </c>
      <c r="E23598" s="11">
        <v>45658</v>
      </c>
      <c r="F23598">
        <v>0</v>
      </c>
      <c r="G23598">
        <v>0</v>
      </c>
      <c r="I23598">
        <v>0</v>
      </c>
      <c r="J23598">
        <v>0</v>
      </c>
      <c r="L23598">
        <v>0</v>
      </c>
      <c r="N23598">
        <v>0</v>
      </c>
      <c r="P23598">
        <v>0</v>
      </c>
      <c r="Q23598">
        <v>0</v>
      </c>
      <c r="S23598">
        <v>0</v>
      </c>
    </row>
    <row r="23599" spans="1:19" x14ac:dyDescent="0.3">
      <c r="A23599" t="str">
        <f t="shared" si="33"/>
        <v>Healthy FuturesAll FFJan-25</v>
      </c>
      <c r="B23599" s="171" t="s">
        <v>46514</v>
      </c>
      <c r="C23599" s="171" t="s">
        <v>35025</v>
      </c>
      <c r="D23599" s="171" t="s">
        <v>80</v>
      </c>
      <c r="E23599" s="11">
        <v>45658</v>
      </c>
      <c r="F23599">
        <v>0</v>
      </c>
      <c r="G23599">
        <v>0</v>
      </c>
      <c r="I23599">
        <v>0</v>
      </c>
      <c r="J23599">
        <v>0</v>
      </c>
      <c r="L23599">
        <v>0</v>
      </c>
      <c r="N23599">
        <v>0</v>
      </c>
      <c r="P23599">
        <v>0</v>
      </c>
      <c r="Q23599">
        <v>0</v>
      </c>
      <c r="S23599">
        <v>0</v>
      </c>
    </row>
    <row r="23600" spans="1:19" x14ac:dyDescent="0.3">
      <c r="A23600" t="str">
        <f t="shared" si="33"/>
        <v>HillcrestAll FFJan-25</v>
      </c>
      <c r="B23600" s="171" t="s">
        <v>46515</v>
      </c>
      <c r="C23600" s="171" t="s">
        <v>146</v>
      </c>
      <c r="D23600" s="171" t="s">
        <v>80</v>
      </c>
      <c r="E23600" s="11">
        <v>45658</v>
      </c>
      <c r="F23600">
        <v>8</v>
      </c>
      <c r="G23600">
        <v>11.5</v>
      </c>
      <c r="I23600">
        <v>30</v>
      </c>
      <c r="J23600">
        <v>40</v>
      </c>
      <c r="L23600">
        <v>55</v>
      </c>
      <c r="N23600">
        <v>31</v>
      </c>
      <c r="P23600">
        <v>0</v>
      </c>
      <c r="Q23600">
        <v>0</v>
      </c>
      <c r="S23600">
        <v>0</v>
      </c>
    </row>
    <row r="23601" spans="1:19" x14ac:dyDescent="0.3">
      <c r="A23601" t="str">
        <f t="shared" si="33"/>
        <v>LAYCAll FFJan-25</v>
      </c>
      <c r="B23601" s="171" t="s">
        <v>46516</v>
      </c>
      <c r="C23601" s="171" t="s">
        <v>161</v>
      </c>
      <c r="D23601" s="171" t="s">
        <v>80</v>
      </c>
      <c r="E23601" s="11">
        <v>45658</v>
      </c>
      <c r="F23601">
        <v>2.5</v>
      </c>
      <c r="G23601">
        <v>3.5</v>
      </c>
      <c r="I23601">
        <v>11</v>
      </c>
      <c r="J23601">
        <v>15</v>
      </c>
      <c r="L23601">
        <v>21</v>
      </c>
      <c r="N23601">
        <v>10</v>
      </c>
      <c r="P23601">
        <v>0</v>
      </c>
      <c r="Q23601">
        <v>0</v>
      </c>
      <c r="S23601">
        <v>1</v>
      </c>
    </row>
    <row r="23602" spans="1:19" x14ac:dyDescent="0.3">
      <c r="A23602" t="str">
        <f t="shared" si="33"/>
        <v>LCSAll FFJan-25</v>
      </c>
      <c r="B23602" s="171" t="s">
        <v>46517</v>
      </c>
      <c r="C23602" s="171" t="s">
        <v>18252</v>
      </c>
      <c r="D23602" s="171" t="s">
        <v>80</v>
      </c>
      <c r="E23602" s="11">
        <v>45658</v>
      </c>
      <c r="F23602">
        <v>0</v>
      </c>
      <c r="G23602">
        <v>0</v>
      </c>
      <c r="I23602">
        <v>0</v>
      </c>
      <c r="J23602">
        <v>0</v>
      </c>
      <c r="L23602">
        <v>0</v>
      </c>
      <c r="N23602">
        <v>0</v>
      </c>
      <c r="P23602">
        <v>0</v>
      </c>
      <c r="Q23602">
        <v>0</v>
      </c>
      <c r="S23602">
        <v>0</v>
      </c>
    </row>
    <row r="23603" spans="1:19" x14ac:dyDescent="0.3">
      <c r="A23603" t="str">
        <f t="shared" si="33"/>
        <v>LESAll FFJan-25</v>
      </c>
      <c r="B23603" s="171" t="s">
        <v>46518</v>
      </c>
      <c r="C23603" s="171" t="s">
        <v>167</v>
      </c>
      <c r="D23603" s="171" t="s">
        <v>80</v>
      </c>
      <c r="E23603" s="11">
        <v>45658</v>
      </c>
      <c r="F23603">
        <v>2.5</v>
      </c>
      <c r="G23603">
        <v>2.5</v>
      </c>
      <c r="I23603">
        <v>11</v>
      </c>
      <c r="J23603">
        <v>35</v>
      </c>
      <c r="L23603">
        <v>35</v>
      </c>
      <c r="N23603">
        <v>11</v>
      </c>
      <c r="P23603">
        <v>0</v>
      </c>
      <c r="Q23603">
        <v>0</v>
      </c>
      <c r="S23603">
        <v>0</v>
      </c>
    </row>
    <row r="23604" spans="1:19" x14ac:dyDescent="0.3">
      <c r="A23604" t="str">
        <f t="shared" si="33"/>
        <v>MBI HSAll FFJan-25</v>
      </c>
      <c r="B23604" s="171" t="s">
        <v>46519</v>
      </c>
      <c r="C23604" s="171" t="s">
        <v>179</v>
      </c>
      <c r="D23604" s="171" t="s">
        <v>80</v>
      </c>
      <c r="E23604" s="11">
        <v>45658</v>
      </c>
      <c r="F23604">
        <v>10</v>
      </c>
      <c r="G23604">
        <v>15</v>
      </c>
      <c r="I23604">
        <v>47</v>
      </c>
      <c r="J23604">
        <v>93</v>
      </c>
      <c r="L23604">
        <v>130</v>
      </c>
      <c r="N23604">
        <v>45</v>
      </c>
      <c r="P23604">
        <v>0</v>
      </c>
      <c r="Q23604">
        <v>0</v>
      </c>
      <c r="S23604">
        <v>2</v>
      </c>
    </row>
    <row r="23605" spans="1:19" x14ac:dyDescent="0.3">
      <c r="A23605" t="str">
        <f t="shared" si="33"/>
        <v>MD Family ResourcesAll FFJan-25</v>
      </c>
      <c r="B23605" s="171" t="s">
        <v>46520</v>
      </c>
      <c r="C23605" s="171" t="s">
        <v>185</v>
      </c>
      <c r="D23605" s="171" t="s">
        <v>80</v>
      </c>
      <c r="E23605" s="11">
        <v>45658</v>
      </c>
      <c r="F23605">
        <v>2</v>
      </c>
      <c r="G23605">
        <v>8.5</v>
      </c>
      <c r="I23605">
        <v>4</v>
      </c>
      <c r="J23605">
        <v>11</v>
      </c>
      <c r="L23605">
        <v>42</v>
      </c>
      <c r="N23605">
        <v>3</v>
      </c>
      <c r="P23605">
        <v>0</v>
      </c>
      <c r="Q23605">
        <v>0</v>
      </c>
      <c r="S23605">
        <v>1</v>
      </c>
    </row>
    <row r="23606" spans="1:19" x14ac:dyDescent="0.3">
      <c r="A23606" t="str">
        <f t="shared" si="33"/>
        <v>PASSAll FFJan-25</v>
      </c>
      <c r="B23606" s="171" t="s">
        <v>46521</v>
      </c>
      <c r="C23606" s="171" t="s">
        <v>191</v>
      </c>
      <c r="D23606" s="171" t="s">
        <v>80</v>
      </c>
      <c r="E23606" s="11">
        <v>45658</v>
      </c>
      <c r="F23606">
        <v>9.5</v>
      </c>
      <c r="G23606">
        <v>13</v>
      </c>
      <c r="I23606">
        <v>103</v>
      </c>
      <c r="J23606">
        <v>87</v>
      </c>
      <c r="L23606">
        <v>107</v>
      </c>
      <c r="N23606">
        <v>83</v>
      </c>
      <c r="P23606">
        <v>0</v>
      </c>
      <c r="Q23606">
        <v>0</v>
      </c>
      <c r="S23606">
        <v>20</v>
      </c>
    </row>
    <row r="23607" spans="1:19" x14ac:dyDescent="0.3">
      <c r="A23607" t="str">
        <f t="shared" si="33"/>
        <v>RiversideAll FFJan-25</v>
      </c>
      <c r="B23607" s="171" t="s">
        <v>46522</v>
      </c>
      <c r="C23607" s="171" t="s">
        <v>212</v>
      </c>
      <c r="D23607" s="171" t="s">
        <v>80</v>
      </c>
      <c r="E23607" s="11">
        <v>45658</v>
      </c>
      <c r="F23607">
        <v>0</v>
      </c>
      <c r="G23607">
        <v>0</v>
      </c>
      <c r="I23607">
        <v>0</v>
      </c>
      <c r="J23607">
        <v>0</v>
      </c>
      <c r="L23607">
        <v>0</v>
      </c>
      <c r="N23607">
        <v>0</v>
      </c>
      <c r="P23607">
        <v>0</v>
      </c>
      <c r="Q23607">
        <v>0</v>
      </c>
      <c r="S23607">
        <v>0</v>
      </c>
    </row>
    <row r="23608" spans="1:19" x14ac:dyDescent="0.3">
      <c r="A23608" t="str">
        <f t="shared" si="33"/>
        <v>TFCCAll FFJan-25</v>
      </c>
      <c r="B23608" s="171" t="s">
        <v>46523</v>
      </c>
      <c r="C23608" s="171" t="s">
        <v>215</v>
      </c>
      <c r="D23608" s="171" t="s">
        <v>80</v>
      </c>
      <c r="E23608" s="11">
        <v>45658</v>
      </c>
      <c r="F23608">
        <v>0</v>
      </c>
      <c r="G23608">
        <v>0</v>
      </c>
      <c r="I23608">
        <v>0</v>
      </c>
      <c r="J23608">
        <v>0</v>
      </c>
      <c r="L23608">
        <v>0</v>
      </c>
      <c r="N23608">
        <v>0</v>
      </c>
      <c r="P23608">
        <v>0</v>
      </c>
      <c r="Q23608">
        <v>0</v>
      </c>
      <c r="S23608">
        <v>0</v>
      </c>
    </row>
    <row r="23609" spans="1:19" x14ac:dyDescent="0.3">
      <c r="A23609" t="str">
        <f t="shared" si="33"/>
        <v>UmbrellaAll FFJan-25</v>
      </c>
      <c r="B23609" s="171" t="s">
        <v>46524</v>
      </c>
      <c r="C23609" s="171" t="s">
        <v>35119</v>
      </c>
      <c r="D23609" s="171" t="s">
        <v>80</v>
      </c>
      <c r="E23609" s="11">
        <v>45658</v>
      </c>
      <c r="F23609">
        <v>8</v>
      </c>
      <c r="G23609">
        <v>8</v>
      </c>
      <c r="I23609">
        <v>35</v>
      </c>
      <c r="J23609">
        <v>74</v>
      </c>
      <c r="L23609">
        <v>74</v>
      </c>
      <c r="N23609">
        <v>34</v>
      </c>
      <c r="P23609">
        <v>0</v>
      </c>
      <c r="Q23609">
        <v>0</v>
      </c>
      <c r="S23609">
        <v>1</v>
      </c>
    </row>
    <row r="23610" spans="1:19" x14ac:dyDescent="0.3">
      <c r="A23610" t="str">
        <f t="shared" si="33"/>
        <v>UniversalAll FFJan-25</v>
      </c>
      <c r="B23610" s="171" t="s">
        <v>46525</v>
      </c>
      <c r="C23610" s="171" t="s">
        <v>221</v>
      </c>
      <c r="D23610" s="171" t="s">
        <v>80</v>
      </c>
      <c r="E23610" s="11">
        <v>45658</v>
      </c>
      <c r="F23610">
        <v>0</v>
      </c>
      <c r="G23610">
        <v>0</v>
      </c>
      <c r="I23610">
        <v>0</v>
      </c>
      <c r="J23610">
        <v>0</v>
      </c>
      <c r="L23610">
        <v>0</v>
      </c>
      <c r="N23610">
        <v>0</v>
      </c>
      <c r="P23610">
        <v>0</v>
      </c>
      <c r="Q23610">
        <v>0</v>
      </c>
      <c r="S23610">
        <v>0</v>
      </c>
    </row>
    <row r="23611" spans="1:19" x14ac:dyDescent="0.3">
      <c r="A23611" t="str">
        <f t="shared" si="33"/>
        <v>Wayne PlaceAll FFJan-25</v>
      </c>
      <c r="B23611" s="171" t="s">
        <v>46526</v>
      </c>
      <c r="C23611" s="171" t="s">
        <v>8233</v>
      </c>
      <c r="D23611" s="171" t="s">
        <v>80</v>
      </c>
      <c r="E23611" s="11">
        <v>45658</v>
      </c>
      <c r="F23611">
        <v>2</v>
      </c>
      <c r="G23611">
        <v>3</v>
      </c>
      <c r="I23611">
        <v>7</v>
      </c>
      <c r="J23611">
        <v>22</v>
      </c>
      <c r="L23611">
        <v>33</v>
      </c>
      <c r="N23611">
        <v>7</v>
      </c>
      <c r="P23611">
        <v>0</v>
      </c>
      <c r="Q23611">
        <v>0</v>
      </c>
      <c r="S23611">
        <v>0</v>
      </c>
    </row>
    <row r="23612" spans="1:19" x14ac:dyDescent="0.3">
      <c r="A23612" t="str">
        <f t="shared" si="33"/>
        <v>Youth VillagesAll FFJan-25</v>
      </c>
      <c r="B23612" s="171" t="s">
        <v>46527</v>
      </c>
      <c r="C23612" s="171" t="s">
        <v>233</v>
      </c>
      <c r="D23612" s="171" t="s">
        <v>80</v>
      </c>
      <c r="E23612" s="11">
        <v>45658</v>
      </c>
      <c r="F23612">
        <v>0</v>
      </c>
      <c r="G23612">
        <v>0</v>
      </c>
      <c r="I23612">
        <v>0</v>
      </c>
      <c r="J23612">
        <v>0</v>
      </c>
      <c r="L23612">
        <v>0</v>
      </c>
      <c r="N23612">
        <v>0</v>
      </c>
      <c r="P23612">
        <v>0</v>
      </c>
      <c r="Q23612">
        <v>0</v>
      </c>
      <c r="S23612">
        <v>0</v>
      </c>
    </row>
    <row r="23613" spans="1:19" x14ac:dyDescent="0.3">
      <c r="A23613" t="str">
        <f t="shared" si="33"/>
        <v>Medstar GeorgetownAll DCSJan-25</v>
      </c>
      <c r="B23613" s="171" t="s">
        <v>46528</v>
      </c>
      <c r="C23613" s="171" t="s">
        <v>24508</v>
      </c>
      <c r="D23613" s="171" t="s">
        <v>15341</v>
      </c>
      <c r="E23613" s="11">
        <v>45658</v>
      </c>
      <c r="F23613">
        <v>0</v>
      </c>
      <c r="G23613">
        <v>0</v>
      </c>
      <c r="I23613">
        <v>0</v>
      </c>
      <c r="J23613">
        <v>0</v>
      </c>
      <c r="L23613">
        <v>0</v>
      </c>
      <c r="N23613">
        <v>0</v>
      </c>
      <c r="P23613">
        <v>0</v>
      </c>
      <c r="Q23613">
        <v>0</v>
      </c>
      <c r="S23613">
        <v>0</v>
      </c>
    </row>
    <row r="23614" spans="1:19" x14ac:dyDescent="0.3">
      <c r="A23614" t="str">
        <f t="shared" si="33"/>
        <v>Medstar GeorgetownAll FFJan-25</v>
      </c>
      <c r="B23614" s="171" t="s">
        <v>46529</v>
      </c>
      <c r="C23614" s="171" t="s">
        <v>24508</v>
      </c>
      <c r="D23614" s="171" t="s">
        <v>80</v>
      </c>
      <c r="E23614" s="11">
        <v>45658</v>
      </c>
      <c r="F23614">
        <v>0</v>
      </c>
      <c r="G23614">
        <v>0</v>
      </c>
      <c r="I23614">
        <v>0</v>
      </c>
      <c r="J23614">
        <v>0</v>
      </c>
      <c r="L23614">
        <v>0</v>
      </c>
      <c r="N23614">
        <v>0</v>
      </c>
      <c r="P23614">
        <v>0</v>
      </c>
      <c r="Q23614">
        <v>0</v>
      </c>
      <c r="S23614">
        <v>0</v>
      </c>
    </row>
    <row r="23615" spans="1:19" x14ac:dyDescent="0.3">
      <c r="A23615" t="str">
        <f t="shared" si="33"/>
        <v>Community ConnectionsAll FFJan-25</v>
      </c>
      <c r="B23615" s="171" t="s">
        <v>46530</v>
      </c>
      <c r="C23615" s="171" t="s">
        <v>107</v>
      </c>
      <c r="D23615" s="171" t="s">
        <v>80</v>
      </c>
      <c r="E23615" s="11">
        <v>45658</v>
      </c>
      <c r="F23615">
        <v>0</v>
      </c>
      <c r="G23615">
        <v>0</v>
      </c>
      <c r="I23615">
        <v>0</v>
      </c>
      <c r="J23615">
        <v>0</v>
      </c>
      <c r="L23615">
        <v>0</v>
      </c>
      <c r="N23615">
        <v>0</v>
      </c>
      <c r="P23615">
        <v>0</v>
      </c>
      <c r="Q23615">
        <v>0</v>
      </c>
      <c r="S23615">
        <v>0</v>
      </c>
    </row>
    <row r="23616" spans="1:19" x14ac:dyDescent="0.3">
      <c r="A23616" t="str">
        <f t="shared" si="33"/>
        <v>Community ConnectionsAll DCSJan-25</v>
      </c>
      <c r="B23616" s="171" t="s">
        <v>46531</v>
      </c>
      <c r="C23616" s="171" t="s">
        <v>107</v>
      </c>
      <c r="D23616" s="171" t="s">
        <v>15341</v>
      </c>
      <c r="E23616" s="11">
        <v>45658</v>
      </c>
      <c r="F23616">
        <v>0</v>
      </c>
      <c r="G23616">
        <v>0</v>
      </c>
      <c r="I23616">
        <v>0</v>
      </c>
      <c r="J23616">
        <v>0</v>
      </c>
      <c r="L23616">
        <v>0</v>
      </c>
      <c r="N23616">
        <v>0</v>
      </c>
      <c r="P23616">
        <v>0</v>
      </c>
      <c r="Q23616">
        <v>0</v>
      </c>
      <c r="S23616">
        <v>0</v>
      </c>
    </row>
    <row r="23617" spans="1:19" x14ac:dyDescent="0.3">
      <c r="A23617" t="str">
        <f t="shared" si="33"/>
        <v>Marys CenterAll FFJan-25</v>
      </c>
      <c r="B23617" s="171" t="s">
        <v>46532</v>
      </c>
      <c r="C23617" s="171" t="s">
        <v>173</v>
      </c>
      <c r="D23617" s="171" t="s">
        <v>80</v>
      </c>
      <c r="E23617" s="11">
        <v>45658</v>
      </c>
      <c r="F23617">
        <v>4</v>
      </c>
      <c r="G23617">
        <v>6.5</v>
      </c>
      <c r="I23617">
        <v>8</v>
      </c>
      <c r="J23617">
        <v>23</v>
      </c>
      <c r="L23617">
        <v>37</v>
      </c>
      <c r="N23617">
        <v>8</v>
      </c>
      <c r="P23617">
        <v>0</v>
      </c>
      <c r="Q23617">
        <v>0</v>
      </c>
      <c r="S23617">
        <v>0</v>
      </c>
    </row>
    <row r="23618" spans="1:19" x14ac:dyDescent="0.3">
      <c r="A23618" t="str">
        <f t="shared" si="33"/>
        <v>Marys CenterAll DCSJan-25</v>
      </c>
      <c r="B23618" s="171" t="s">
        <v>46533</v>
      </c>
      <c r="C23618" s="171" t="s">
        <v>173</v>
      </c>
      <c r="D23618" s="171" t="s">
        <v>15341</v>
      </c>
      <c r="E23618" s="11">
        <v>45658</v>
      </c>
      <c r="F23618">
        <v>0</v>
      </c>
      <c r="G23618">
        <v>0</v>
      </c>
      <c r="I23618">
        <v>0</v>
      </c>
      <c r="J23618">
        <v>0</v>
      </c>
      <c r="L23618">
        <v>0</v>
      </c>
      <c r="N23618">
        <v>0</v>
      </c>
      <c r="P23618">
        <v>0</v>
      </c>
      <c r="Q23618">
        <v>0</v>
      </c>
      <c r="S23618">
        <v>0</v>
      </c>
    </row>
    <row r="23619" spans="1:19" x14ac:dyDescent="0.3">
      <c r="A23619" t="str">
        <f t="shared" si="33"/>
        <v>PIECEAll FFJan-25</v>
      </c>
      <c r="B23619" s="171" t="s">
        <v>46534</v>
      </c>
      <c r="C23619" s="171" t="s">
        <v>200</v>
      </c>
      <c r="D23619" s="171" t="s">
        <v>80</v>
      </c>
      <c r="E23619" s="11">
        <v>45658</v>
      </c>
      <c r="F23619">
        <v>6</v>
      </c>
      <c r="G23619">
        <v>5.5</v>
      </c>
      <c r="I23619">
        <v>9</v>
      </c>
      <c r="J23619">
        <v>29</v>
      </c>
      <c r="L23619">
        <v>27</v>
      </c>
      <c r="N23619">
        <v>7</v>
      </c>
      <c r="P23619">
        <v>0</v>
      </c>
      <c r="Q23619">
        <v>0</v>
      </c>
      <c r="S23619">
        <v>2</v>
      </c>
    </row>
    <row r="23620" spans="1:19" x14ac:dyDescent="0.3">
      <c r="A23620" t="str">
        <f t="shared" si="33"/>
        <v>PIECEAll DCSJan-25</v>
      </c>
      <c r="B23620" s="171" t="s">
        <v>46535</v>
      </c>
      <c r="C23620" s="171" t="s">
        <v>200</v>
      </c>
      <c r="D23620" s="171" t="s">
        <v>15341</v>
      </c>
      <c r="E23620" s="11">
        <v>45658</v>
      </c>
      <c r="F23620">
        <v>0</v>
      </c>
      <c r="G23620">
        <v>0</v>
      </c>
      <c r="I23620">
        <v>0</v>
      </c>
      <c r="J23620">
        <v>0</v>
      </c>
      <c r="L23620">
        <v>0</v>
      </c>
      <c r="N23620">
        <v>0</v>
      </c>
      <c r="P23620">
        <v>0</v>
      </c>
      <c r="Q23620">
        <v>0</v>
      </c>
      <c r="S23620">
        <v>0</v>
      </c>
    </row>
    <row r="23621" spans="1:19" x14ac:dyDescent="0.3">
      <c r="A23621" t="str">
        <f t="shared" si="33"/>
        <v>Adoptions TogetherAll CombinedJan-25</v>
      </c>
      <c r="B23621" s="171" t="s">
        <v>46536</v>
      </c>
      <c r="C23621" s="171" t="s">
        <v>73</v>
      </c>
      <c r="D23621" s="171" t="s">
        <v>4</v>
      </c>
      <c r="E23621" s="11">
        <v>45658</v>
      </c>
      <c r="F23621">
        <v>0</v>
      </c>
      <c r="G23621">
        <v>0</v>
      </c>
      <c r="I23621">
        <v>0</v>
      </c>
      <c r="J23621">
        <v>0</v>
      </c>
      <c r="L23621">
        <v>0</v>
      </c>
      <c r="N23621">
        <v>0</v>
      </c>
      <c r="P23621">
        <v>0</v>
      </c>
      <c r="Q23621">
        <v>0</v>
      </c>
      <c r="S23621">
        <v>0</v>
      </c>
    </row>
    <row r="23622" spans="1:19" x14ac:dyDescent="0.3">
      <c r="A23622" t="str">
        <f t="shared" si="33"/>
        <v>Better MorningsAll CombinedJan-25</v>
      </c>
      <c r="B23622" s="171" t="s">
        <v>46537</v>
      </c>
      <c r="C23622" s="171" t="s">
        <v>24891</v>
      </c>
      <c r="D23622" s="171" t="s">
        <v>4</v>
      </c>
      <c r="E23622" s="11">
        <v>45658</v>
      </c>
      <c r="F23622">
        <v>7</v>
      </c>
      <c r="G23622">
        <v>7</v>
      </c>
      <c r="I23622">
        <v>26</v>
      </c>
      <c r="J23622">
        <v>33</v>
      </c>
      <c r="L23622">
        <v>33</v>
      </c>
      <c r="N23622">
        <v>19</v>
      </c>
      <c r="P23622">
        <v>4</v>
      </c>
      <c r="Q23622">
        <v>4</v>
      </c>
      <c r="S23622">
        <v>7</v>
      </c>
    </row>
    <row r="23623" spans="1:19" x14ac:dyDescent="0.3">
      <c r="A23623" t="str">
        <f t="shared" si="33"/>
        <v>CatholicAll CombinedJan-25</v>
      </c>
      <c r="B23623" s="171" t="s">
        <v>46538</v>
      </c>
      <c r="C23623" s="171" t="s">
        <v>18229</v>
      </c>
      <c r="D23623" s="171" t="s">
        <v>4</v>
      </c>
      <c r="E23623" s="11">
        <v>45658</v>
      </c>
      <c r="F23623">
        <v>0</v>
      </c>
      <c r="G23623">
        <v>0</v>
      </c>
      <c r="I23623">
        <v>0</v>
      </c>
      <c r="J23623">
        <v>0</v>
      </c>
      <c r="L23623">
        <v>0</v>
      </c>
      <c r="N23623">
        <v>0</v>
      </c>
      <c r="P23623">
        <v>0</v>
      </c>
      <c r="Q23623">
        <v>0</v>
      </c>
      <c r="S23623">
        <v>0</v>
      </c>
    </row>
    <row r="23624" spans="1:19" x14ac:dyDescent="0.3">
      <c r="A23624" t="str">
        <f t="shared" si="33"/>
        <v>Community ConnectionsAll CombinedJan-25</v>
      </c>
      <c r="B23624" s="171" t="s">
        <v>46539</v>
      </c>
      <c r="C23624" s="171" t="s">
        <v>107</v>
      </c>
      <c r="D23624" s="171" t="s">
        <v>4</v>
      </c>
      <c r="E23624" s="11">
        <v>45658</v>
      </c>
      <c r="F23624">
        <v>0</v>
      </c>
      <c r="G23624">
        <v>0</v>
      </c>
      <c r="I23624">
        <v>0</v>
      </c>
      <c r="J23624">
        <v>0</v>
      </c>
      <c r="L23624">
        <v>0</v>
      </c>
      <c r="N23624">
        <v>0</v>
      </c>
      <c r="P23624">
        <v>0</v>
      </c>
      <c r="Q23624">
        <v>0</v>
      </c>
      <c r="S23624">
        <v>0</v>
      </c>
    </row>
    <row r="23625" spans="1:19" x14ac:dyDescent="0.3">
      <c r="A23625" t="str">
        <f t="shared" si="33"/>
        <v>ContemporaryAll CombinedJan-25</v>
      </c>
      <c r="B23625" s="171" t="s">
        <v>46540</v>
      </c>
      <c r="C23625" s="171" t="s">
        <v>9887</v>
      </c>
      <c r="D23625" s="171" t="s">
        <v>4</v>
      </c>
      <c r="E23625" s="11">
        <v>45658</v>
      </c>
      <c r="F23625">
        <v>0</v>
      </c>
      <c r="G23625">
        <v>0</v>
      </c>
      <c r="I23625">
        <v>0</v>
      </c>
      <c r="J23625">
        <v>0</v>
      </c>
      <c r="L23625">
        <v>0</v>
      </c>
      <c r="N23625">
        <v>0</v>
      </c>
      <c r="P23625">
        <v>0</v>
      </c>
      <c r="Q23625">
        <v>0</v>
      </c>
      <c r="S23625">
        <v>0</v>
      </c>
    </row>
    <row r="23626" spans="1:19" x14ac:dyDescent="0.3">
      <c r="A23626" t="str">
        <f t="shared" si="33"/>
        <v>DBH Family SupportAll CombinedJan-25</v>
      </c>
      <c r="B23626" s="171" t="s">
        <v>46541</v>
      </c>
      <c r="C23626" s="171" t="s">
        <v>35078</v>
      </c>
      <c r="D23626" s="171" t="s">
        <v>4</v>
      </c>
      <c r="E23626" s="11">
        <v>45658</v>
      </c>
      <c r="F23626">
        <v>0</v>
      </c>
      <c r="G23626">
        <v>0</v>
      </c>
      <c r="I23626">
        <v>0</v>
      </c>
      <c r="J23626">
        <v>0</v>
      </c>
      <c r="L23626">
        <v>0</v>
      </c>
      <c r="N23626">
        <v>0</v>
      </c>
      <c r="P23626">
        <v>0</v>
      </c>
      <c r="Q23626">
        <v>0</v>
      </c>
      <c r="S23626">
        <v>0</v>
      </c>
    </row>
    <row r="23627" spans="1:19" x14ac:dyDescent="0.3">
      <c r="A23627" t="str">
        <f t="shared" si="33"/>
        <v>Family MattersAll CombinedJan-25</v>
      </c>
      <c r="B23627" s="171" t="s">
        <v>46542</v>
      </c>
      <c r="C23627" s="171" t="s">
        <v>11260</v>
      </c>
      <c r="D23627" s="171" t="s">
        <v>4</v>
      </c>
      <c r="E23627" s="11">
        <v>45658</v>
      </c>
      <c r="F23627">
        <v>0</v>
      </c>
      <c r="G23627">
        <v>0</v>
      </c>
      <c r="I23627">
        <v>0</v>
      </c>
      <c r="J23627">
        <v>0</v>
      </c>
      <c r="L23627">
        <v>0</v>
      </c>
      <c r="N23627">
        <v>0</v>
      </c>
      <c r="P23627">
        <v>0</v>
      </c>
      <c r="Q23627">
        <v>0</v>
      </c>
      <c r="S23627">
        <v>0</v>
      </c>
    </row>
    <row r="23628" spans="1:19" x14ac:dyDescent="0.3">
      <c r="A23628" t="str">
        <f t="shared" si="33"/>
        <v>Federal CityAll CombinedJan-25</v>
      </c>
      <c r="B23628" s="171" t="s">
        <v>46543</v>
      </c>
      <c r="C23628" s="171" t="s">
        <v>122</v>
      </c>
      <c r="D23628" s="171" t="s">
        <v>4</v>
      </c>
      <c r="E23628" s="11">
        <v>45658</v>
      </c>
      <c r="F23628">
        <v>0</v>
      </c>
      <c r="G23628">
        <v>0</v>
      </c>
      <c r="I23628">
        <v>0</v>
      </c>
      <c r="J23628">
        <v>0</v>
      </c>
      <c r="L23628">
        <v>0</v>
      </c>
      <c r="N23628">
        <v>0</v>
      </c>
      <c r="P23628">
        <v>0</v>
      </c>
      <c r="Q23628">
        <v>0</v>
      </c>
      <c r="S23628">
        <v>0</v>
      </c>
    </row>
    <row r="23629" spans="1:19" x14ac:dyDescent="0.3">
      <c r="A23629" t="str">
        <f t="shared" si="33"/>
        <v>First Home CareAll CombinedJan-25</v>
      </c>
      <c r="B23629" s="171" t="s">
        <v>46544</v>
      </c>
      <c r="C23629" s="171" t="s">
        <v>125</v>
      </c>
      <c r="D23629" s="171" t="s">
        <v>4</v>
      </c>
      <c r="E23629" s="11">
        <v>45658</v>
      </c>
      <c r="F23629">
        <v>0</v>
      </c>
      <c r="G23629">
        <v>0</v>
      </c>
      <c r="I23629">
        <v>0</v>
      </c>
      <c r="J23629">
        <v>0</v>
      </c>
      <c r="L23629">
        <v>0</v>
      </c>
      <c r="N23629">
        <v>0</v>
      </c>
      <c r="P23629">
        <v>0</v>
      </c>
      <c r="Q23629">
        <v>0</v>
      </c>
      <c r="S23629">
        <v>0</v>
      </c>
    </row>
    <row r="23630" spans="1:19" x14ac:dyDescent="0.3">
      <c r="A23630" t="str">
        <f t="shared" si="33"/>
        <v>Foundations for Home &amp; CommunityAll CombinedJan-25</v>
      </c>
      <c r="B23630" s="171" t="s">
        <v>46545</v>
      </c>
      <c r="C23630" s="171" t="s">
        <v>14899</v>
      </c>
      <c r="D23630" s="171" t="s">
        <v>4</v>
      </c>
      <c r="E23630" s="11">
        <v>45658</v>
      </c>
      <c r="F23630">
        <v>0</v>
      </c>
      <c r="G23630">
        <v>0</v>
      </c>
      <c r="I23630">
        <v>0</v>
      </c>
      <c r="J23630">
        <v>0</v>
      </c>
      <c r="L23630">
        <v>0</v>
      </c>
      <c r="N23630">
        <v>0</v>
      </c>
      <c r="P23630">
        <v>0</v>
      </c>
      <c r="Q23630">
        <v>0</v>
      </c>
      <c r="S23630">
        <v>0</v>
      </c>
    </row>
    <row r="23631" spans="1:19" x14ac:dyDescent="0.3">
      <c r="A23631" t="str">
        <f t="shared" si="33"/>
        <v>FPSAll CombinedJan-25</v>
      </c>
      <c r="B23631" s="171" t="s">
        <v>46546</v>
      </c>
      <c r="C23631" s="171" t="s">
        <v>137</v>
      </c>
      <c r="D23631" s="171" t="s">
        <v>4</v>
      </c>
      <c r="E23631" s="11">
        <v>45658</v>
      </c>
      <c r="F23631">
        <v>0</v>
      </c>
      <c r="G23631">
        <v>0</v>
      </c>
      <c r="I23631">
        <v>0</v>
      </c>
      <c r="J23631">
        <v>0</v>
      </c>
      <c r="L23631">
        <v>0</v>
      </c>
      <c r="N23631">
        <v>0</v>
      </c>
      <c r="P23631">
        <v>0</v>
      </c>
      <c r="Q23631">
        <v>0</v>
      </c>
      <c r="S23631">
        <v>0</v>
      </c>
    </row>
    <row r="23632" spans="1:19" x14ac:dyDescent="0.3">
      <c r="A23632" t="str">
        <f t="shared" si="33"/>
        <v>Green DoorAll CombinedJan-25</v>
      </c>
      <c r="B23632" s="171" t="s">
        <v>46547</v>
      </c>
      <c r="C23632" s="171" t="s">
        <v>8615</v>
      </c>
      <c r="D23632" s="171" t="s">
        <v>4</v>
      </c>
      <c r="E23632" s="11">
        <v>45658</v>
      </c>
      <c r="F23632">
        <v>0</v>
      </c>
      <c r="G23632">
        <v>0</v>
      </c>
      <c r="I23632">
        <v>0</v>
      </c>
      <c r="J23632">
        <v>0</v>
      </c>
      <c r="L23632">
        <v>0</v>
      </c>
      <c r="N23632">
        <v>0</v>
      </c>
      <c r="P23632">
        <v>0</v>
      </c>
      <c r="Q23632">
        <v>0</v>
      </c>
      <c r="S23632">
        <v>0</v>
      </c>
    </row>
    <row r="23633" spans="1:19" x14ac:dyDescent="0.3">
      <c r="A23633" t="str">
        <f t="shared" si="33"/>
        <v>Healthy FuturesAll CombinedJan-25</v>
      </c>
      <c r="B23633" s="171" t="s">
        <v>46548</v>
      </c>
      <c r="C23633" s="171" t="s">
        <v>35025</v>
      </c>
      <c r="D23633" s="171" t="s">
        <v>4</v>
      </c>
      <c r="E23633" s="11">
        <v>45658</v>
      </c>
      <c r="F23633">
        <v>0</v>
      </c>
      <c r="G23633">
        <v>0</v>
      </c>
      <c r="I23633">
        <v>0</v>
      </c>
      <c r="J23633">
        <v>0</v>
      </c>
      <c r="L23633">
        <v>0</v>
      </c>
      <c r="N23633">
        <v>0</v>
      </c>
      <c r="P23633">
        <v>0</v>
      </c>
      <c r="Q23633">
        <v>0</v>
      </c>
      <c r="S23633">
        <v>0</v>
      </c>
    </row>
    <row r="23634" spans="1:19" x14ac:dyDescent="0.3">
      <c r="A23634" t="str">
        <f t="shared" si="33"/>
        <v>HillcrestAll CombinedJan-25</v>
      </c>
      <c r="B23634" s="171" t="s">
        <v>46549</v>
      </c>
      <c r="C23634" s="171" t="s">
        <v>146</v>
      </c>
      <c r="D23634" s="171" t="s">
        <v>4</v>
      </c>
      <c r="E23634" s="11">
        <v>45658</v>
      </c>
      <c r="F23634">
        <v>8</v>
      </c>
      <c r="G23634">
        <v>11.5</v>
      </c>
      <c r="I23634">
        <v>30</v>
      </c>
      <c r="J23634">
        <v>40</v>
      </c>
      <c r="L23634">
        <v>55</v>
      </c>
      <c r="N23634">
        <v>31</v>
      </c>
      <c r="P23634">
        <v>1</v>
      </c>
      <c r="Q23634">
        <v>5</v>
      </c>
      <c r="S23634">
        <v>0</v>
      </c>
    </row>
    <row r="23635" spans="1:19" x14ac:dyDescent="0.3">
      <c r="A23635" t="str">
        <f t="shared" si="33"/>
        <v>LAYCAll CombinedJan-25</v>
      </c>
      <c r="B23635" s="171" t="s">
        <v>46550</v>
      </c>
      <c r="C23635" s="171" t="s">
        <v>161</v>
      </c>
      <c r="D23635" s="171" t="s">
        <v>4</v>
      </c>
      <c r="E23635" s="11">
        <v>45658</v>
      </c>
      <c r="F23635">
        <v>2.5</v>
      </c>
      <c r="G23635">
        <v>3.5</v>
      </c>
      <c r="I23635">
        <v>11</v>
      </c>
      <c r="J23635">
        <v>15</v>
      </c>
      <c r="L23635">
        <v>21</v>
      </c>
      <c r="N23635">
        <v>10</v>
      </c>
      <c r="P23635">
        <v>0</v>
      </c>
      <c r="Q23635">
        <v>0</v>
      </c>
      <c r="S23635">
        <v>1</v>
      </c>
    </row>
    <row r="23636" spans="1:19" x14ac:dyDescent="0.3">
      <c r="A23636" t="str">
        <f t="shared" si="33"/>
        <v>LCSAll CombinedJan-25</v>
      </c>
      <c r="B23636" s="171" t="s">
        <v>46551</v>
      </c>
      <c r="C23636" s="171" t="s">
        <v>18252</v>
      </c>
      <c r="D23636" s="171" t="s">
        <v>4</v>
      </c>
      <c r="E23636" s="11">
        <v>45658</v>
      </c>
      <c r="F23636">
        <v>0</v>
      </c>
      <c r="G23636">
        <v>0</v>
      </c>
      <c r="I23636">
        <v>0</v>
      </c>
      <c r="J23636">
        <v>0</v>
      </c>
      <c r="L23636">
        <v>0</v>
      </c>
      <c r="N23636">
        <v>0</v>
      </c>
      <c r="P23636">
        <v>0</v>
      </c>
      <c r="Q23636">
        <v>0</v>
      </c>
      <c r="S23636">
        <v>0</v>
      </c>
    </row>
    <row r="23637" spans="1:19" x14ac:dyDescent="0.3">
      <c r="A23637" t="str">
        <f t="shared" si="33"/>
        <v>LESAll CombinedJan-25</v>
      </c>
      <c r="B23637" s="171" t="s">
        <v>46552</v>
      </c>
      <c r="C23637" s="171" t="s">
        <v>167</v>
      </c>
      <c r="D23637" s="171" t="s">
        <v>4</v>
      </c>
      <c r="E23637" s="11">
        <v>45658</v>
      </c>
      <c r="F23637">
        <v>2.5</v>
      </c>
      <c r="G23637">
        <v>2.5</v>
      </c>
      <c r="I23637">
        <v>11</v>
      </c>
      <c r="J23637">
        <v>35</v>
      </c>
      <c r="L23637">
        <v>35</v>
      </c>
      <c r="N23637">
        <v>11</v>
      </c>
      <c r="P23637">
        <v>0</v>
      </c>
      <c r="Q23637">
        <v>0</v>
      </c>
      <c r="S23637">
        <v>0</v>
      </c>
    </row>
    <row r="23638" spans="1:19" x14ac:dyDescent="0.3">
      <c r="A23638" t="str">
        <f t="shared" si="33"/>
        <v>Marys CenterAll CombinedJan-25</v>
      </c>
      <c r="B23638" s="171" t="s">
        <v>46553</v>
      </c>
      <c r="C23638" s="171" t="s">
        <v>173</v>
      </c>
      <c r="D23638" s="171" t="s">
        <v>4</v>
      </c>
      <c r="E23638" s="11">
        <v>45658</v>
      </c>
      <c r="F23638">
        <v>4</v>
      </c>
      <c r="G23638">
        <v>6.5</v>
      </c>
      <c r="I23638">
        <v>8</v>
      </c>
      <c r="J23638">
        <v>23</v>
      </c>
      <c r="L23638">
        <v>37</v>
      </c>
      <c r="N23638">
        <v>8</v>
      </c>
      <c r="P23638">
        <v>0</v>
      </c>
      <c r="Q23638">
        <v>0</v>
      </c>
      <c r="S23638">
        <v>0</v>
      </c>
    </row>
    <row r="23639" spans="1:19" x14ac:dyDescent="0.3">
      <c r="A23639" t="str">
        <f t="shared" si="33"/>
        <v>MBI HSAll CombinedJan-25</v>
      </c>
      <c r="B23639" s="171" t="s">
        <v>46554</v>
      </c>
      <c r="C23639" s="171" t="s">
        <v>179</v>
      </c>
      <c r="D23639" s="171" t="s">
        <v>4</v>
      </c>
      <c r="E23639" s="11">
        <v>45658</v>
      </c>
      <c r="F23639">
        <v>10</v>
      </c>
      <c r="G23639">
        <v>15</v>
      </c>
      <c r="I23639">
        <v>47</v>
      </c>
      <c r="J23639">
        <v>93</v>
      </c>
      <c r="L23639">
        <v>130</v>
      </c>
      <c r="N23639">
        <v>45</v>
      </c>
      <c r="P23639">
        <v>5</v>
      </c>
      <c r="Q23639">
        <v>6</v>
      </c>
      <c r="S23639">
        <v>2</v>
      </c>
    </row>
    <row r="23640" spans="1:19" x14ac:dyDescent="0.3">
      <c r="A23640" t="str">
        <f t="shared" si="33"/>
        <v>MD Family ResourcesAll CombinedJan-25</v>
      </c>
      <c r="B23640" s="171" t="s">
        <v>46555</v>
      </c>
      <c r="C23640" s="171" t="s">
        <v>185</v>
      </c>
      <c r="D23640" s="171" t="s">
        <v>4</v>
      </c>
      <c r="E23640" s="11">
        <v>45658</v>
      </c>
      <c r="F23640">
        <v>2</v>
      </c>
      <c r="G23640">
        <v>8.5</v>
      </c>
      <c r="I23640">
        <v>4</v>
      </c>
      <c r="J23640">
        <v>11</v>
      </c>
      <c r="L23640">
        <v>42</v>
      </c>
      <c r="N23640">
        <v>3</v>
      </c>
      <c r="P23640">
        <v>0</v>
      </c>
      <c r="Q23640">
        <v>1</v>
      </c>
      <c r="S23640">
        <v>1</v>
      </c>
    </row>
    <row r="23641" spans="1:19" x14ac:dyDescent="0.3">
      <c r="A23641" t="str">
        <f t="shared" si="33"/>
        <v>Medstar GeorgetownAll CombinedJan-25</v>
      </c>
      <c r="B23641" s="171" t="s">
        <v>46556</v>
      </c>
      <c r="C23641" s="171" t="s">
        <v>24508</v>
      </c>
      <c r="D23641" s="171" t="s">
        <v>4</v>
      </c>
      <c r="E23641" s="11">
        <v>45658</v>
      </c>
      <c r="F23641">
        <v>0</v>
      </c>
      <c r="G23641">
        <v>0</v>
      </c>
      <c r="I23641">
        <v>0</v>
      </c>
      <c r="J23641">
        <v>0</v>
      </c>
      <c r="L23641">
        <v>0</v>
      </c>
      <c r="N23641">
        <v>0</v>
      </c>
      <c r="P23641">
        <v>0</v>
      </c>
      <c r="Q23641">
        <v>0</v>
      </c>
      <c r="S23641">
        <v>0</v>
      </c>
    </row>
    <row r="23642" spans="1:19" x14ac:dyDescent="0.3">
      <c r="A23642" t="str">
        <f t="shared" si="33"/>
        <v>PASSAll CombinedJan-25</v>
      </c>
      <c r="B23642" s="171" t="s">
        <v>46557</v>
      </c>
      <c r="C23642" s="171" t="s">
        <v>191</v>
      </c>
      <c r="D23642" s="171" t="s">
        <v>4</v>
      </c>
      <c r="E23642" s="11">
        <v>45658</v>
      </c>
      <c r="F23642">
        <v>9.5</v>
      </c>
      <c r="G23642">
        <v>13</v>
      </c>
      <c r="I23642">
        <v>103</v>
      </c>
      <c r="J23642">
        <v>87</v>
      </c>
      <c r="L23642">
        <v>107</v>
      </c>
      <c r="N23642">
        <v>83</v>
      </c>
      <c r="P23642">
        <v>5</v>
      </c>
      <c r="Q23642">
        <v>7</v>
      </c>
      <c r="S23642">
        <v>20</v>
      </c>
    </row>
    <row r="23643" spans="1:19" x14ac:dyDescent="0.3">
      <c r="A23643" t="str">
        <f t="shared" si="33"/>
        <v>PIECEAll CombinedJan-25</v>
      </c>
      <c r="B23643" s="171" t="s">
        <v>46558</v>
      </c>
      <c r="C23643" s="171" t="s">
        <v>200</v>
      </c>
      <c r="D23643" s="171" t="s">
        <v>4</v>
      </c>
      <c r="E23643" s="11">
        <v>45658</v>
      </c>
      <c r="F23643">
        <v>6</v>
      </c>
      <c r="G23643">
        <v>5.5</v>
      </c>
      <c r="I23643">
        <v>9</v>
      </c>
      <c r="J23643">
        <v>29</v>
      </c>
      <c r="L23643">
        <v>27</v>
      </c>
      <c r="N23643">
        <v>7</v>
      </c>
      <c r="P23643">
        <v>0</v>
      </c>
      <c r="Q23643">
        <v>0</v>
      </c>
      <c r="S23643">
        <v>2</v>
      </c>
    </row>
    <row r="23644" spans="1:19" x14ac:dyDescent="0.3">
      <c r="A23644" t="str">
        <f t="shared" si="33"/>
        <v>RiversideAll CombinedJan-25</v>
      </c>
      <c r="B23644" s="171" t="s">
        <v>46559</v>
      </c>
      <c r="C23644" s="171" t="s">
        <v>212</v>
      </c>
      <c r="D23644" s="171" t="s">
        <v>4</v>
      </c>
      <c r="E23644" s="11">
        <v>45658</v>
      </c>
      <c r="F23644">
        <v>0</v>
      </c>
      <c r="G23644">
        <v>0</v>
      </c>
      <c r="I23644">
        <v>0</v>
      </c>
      <c r="J23644">
        <v>0</v>
      </c>
      <c r="L23644">
        <v>0</v>
      </c>
      <c r="N23644">
        <v>0</v>
      </c>
      <c r="P23644">
        <v>0</v>
      </c>
      <c r="Q23644">
        <v>0</v>
      </c>
      <c r="S23644">
        <v>0</v>
      </c>
    </row>
    <row r="23645" spans="1:19" x14ac:dyDescent="0.3">
      <c r="A23645" t="str">
        <f t="shared" si="33"/>
        <v>TFCCAll CombinedJan-25</v>
      </c>
      <c r="B23645" s="171" t="s">
        <v>46560</v>
      </c>
      <c r="C23645" s="171" t="s">
        <v>215</v>
      </c>
      <c r="D23645" s="171" t="s">
        <v>4</v>
      </c>
      <c r="E23645" s="11">
        <v>45658</v>
      </c>
      <c r="F23645">
        <v>0</v>
      </c>
      <c r="G23645">
        <v>0</v>
      </c>
      <c r="I23645">
        <v>0</v>
      </c>
      <c r="J23645">
        <v>0</v>
      </c>
      <c r="L23645">
        <v>0</v>
      </c>
      <c r="N23645">
        <v>0</v>
      </c>
      <c r="P23645">
        <v>0</v>
      </c>
      <c r="Q23645">
        <v>0</v>
      </c>
      <c r="S23645">
        <v>0</v>
      </c>
    </row>
    <row r="23646" spans="1:19" x14ac:dyDescent="0.3">
      <c r="A23646" t="str">
        <f t="shared" si="33"/>
        <v>UmbrellaAll CombinedJan-25</v>
      </c>
      <c r="B23646" s="171" t="s">
        <v>46561</v>
      </c>
      <c r="C23646" s="171" t="s">
        <v>35119</v>
      </c>
      <c r="D23646" s="171" t="s">
        <v>4</v>
      </c>
      <c r="E23646" s="11">
        <v>45658</v>
      </c>
      <c r="F23646">
        <v>8</v>
      </c>
      <c r="G23646">
        <v>8</v>
      </c>
      <c r="I23646">
        <v>35</v>
      </c>
      <c r="J23646">
        <v>74</v>
      </c>
      <c r="L23646">
        <v>74</v>
      </c>
      <c r="N23646">
        <v>34</v>
      </c>
      <c r="P23646">
        <v>0</v>
      </c>
      <c r="Q23646">
        <v>0</v>
      </c>
      <c r="S23646">
        <v>1</v>
      </c>
    </row>
    <row r="23647" spans="1:19" x14ac:dyDescent="0.3">
      <c r="A23647" t="str">
        <f t="shared" si="33"/>
        <v>UniversalAll CombinedJan-25</v>
      </c>
      <c r="B23647" s="171" t="s">
        <v>46562</v>
      </c>
      <c r="C23647" s="171" t="s">
        <v>221</v>
      </c>
      <c r="D23647" s="171" t="s">
        <v>4</v>
      </c>
      <c r="E23647" s="11">
        <v>45658</v>
      </c>
      <c r="F23647">
        <v>0</v>
      </c>
      <c r="G23647">
        <v>0</v>
      </c>
      <c r="I23647">
        <v>0</v>
      </c>
      <c r="J23647">
        <v>0</v>
      </c>
      <c r="L23647">
        <v>0</v>
      </c>
      <c r="N23647">
        <v>0</v>
      </c>
      <c r="P23647">
        <v>0</v>
      </c>
      <c r="Q23647">
        <v>0</v>
      </c>
      <c r="S23647">
        <v>0</v>
      </c>
    </row>
    <row r="23648" spans="1:19" x14ac:dyDescent="0.3">
      <c r="A23648" t="str">
        <f t="shared" ref="A23648:A23683" si="34">C23648&amp;" "&amp;D23648&amp;"Jan-25"</f>
        <v>Wayne PlaceAll CombinedJan-25</v>
      </c>
      <c r="B23648" s="171" t="s">
        <v>46563</v>
      </c>
      <c r="C23648" s="171" t="s">
        <v>8233</v>
      </c>
      <c r="D23648" s="171" t="s">
        <v>4</v>
      </c>
      <c r="E23648" s="11">
        <v>45658</v>
      </c>
      <c r="F23648">
        <v>2</v>
      </c>
      <c r="G23648">
        <v>3</v>
      </c>
      <c r="I23648">
        <v>7</v>
      </c>
      <c r="J23648">
        <v>22</v>
      </c>
      <c r="L23648">
        <v>33</v>
      </c>
      <c r="N23648">
        <v>7</v>
      </c>
      <c r="P23648">
        <v>0</v>
      </c>
      <c r="Q23648">
        <v>0</v>
      </c>
      <c r="S23648">
        <v>0</v>
      </c>
    </row>
    <row r="23649" spans="1:19" x14ac:dyDescent="0.3">
      <c r="A23649" t="str">
        <f t="shared" si="34"/>
        <v>Youth VillagesAll CombinedJan-25</v>
      </c>
      <c r="B23649" s="171" t="s">
        <v>46564</v>
      </c>
      <c r="C23649" s="171" t="s">
        <v>233</v>
      </c>
      <c r="D23649" s="171" t="s">
        <v>4</v>
      </c>
      <c r="E23649" s="11">
        <v>45658</v>
      </c>
      <c r="F23649">
        <v>0</v>
      </c>
      <c r="G23649">
        <v>0</v>
      </c>
      <c r="I23649">
        <v>0</v>
      </c>
      <c r="J23649">
        <v>0</v>
      </c>
      <c r="L23649">
        <v>0</v>
      </c>
      <c r="N23649">
        <v>0</v>
      </c>
      <c r="P23649">
        <v>0</v>
      </c>
      <c r="Q23649">
        <v>0</v>
      </c>
      <c r="S23649">
        <v>0</v>
      </c>
    </row>
    <row r="23650" spans="1:19" x14ac:dyDescent="0.3">
      <c r="A23650" t="str">
        <f t="shared" si="34"/>
        <v>All ABC ProvidersABC FFJan-25</v>
      </c>
      <c r="B23650" s="171" t="s">
        <v>46565</v>
      </c>
      <c r="C23650" s="171" t="s">
        <v>35128</v>
      </c>
      <c r="D23650" s="171" t="s">
        <v>80</v>
      </c>
      <c r="E23650" s="11">
        <v>45658</v>
      </c>
      <c r="F23650">
        <v>0</v>
      </c>
      <c r="G23650">
        <v>0</v>
      </c>
      <c r="I23650">
        <v>0</v>
      </c>
      <c r="J23650">
        <v>0</v>
      </c>
      <c r="L23650">
        <v>0</v>
      </c>
      <c r="N23650">
        <v>0</v>
      </c>
      <c r="P23650">
        <v>0</v>
      </c>
      <c r="Q23650">
        <v>0</v>
      </c>
      <c r="S23650">
        <v>0</v>
      </c>
    </row>
    <row r="23651" spans="1:19" x14ac:dyDescent="0.3">
      <c r="A23651" t="str">
        <f t="shared" si="34"/>
        <v>All ABC ProvidersABC CombinedJan-25</v>
      </c>
      <c r="B23651" s="171" t="s">
        <v>46566</v>
      </c>
      <c r="C23651" s="171" t="s">
        <v>35128</v>
      </c>
      <c r="D23651" s="171" t="s">
        <v>4</v>
      </c>
      <c r="E23651" s="11">
        <v>45658</v>
      </c>
      <c r="F23651">
        <v>0</v>
      </c>
      <c r="G23651">
        <v>0</v>
      </c>
      <c r="I23651">
        <v>0</v>
      </c>
      <c r="J23651">
        <v>0</v>
      </c>
      <c r="L23651">
        <v>0</v>
      </c>
      <c r="N23651">
        <v>0</v>
      </c>
      <c r="P23651">
        <v>0</v>
      </c>
      <c r="Q23651">
        <v>0</v>
      </c>
      <c r="S23651">
        <v>0</v>
      </c>
    </row>
    <row r="23652" spans="1:19" x14ac:dyDescent="0.3">
      <c r="A23652" t="str">
        <f t="shared" si="34"/>
        <v>All A-CRA ProvidersA-CRA FFJan-25</v>
      </c>
      <c r="B23652" s="171" t="s">
        <v>46567</v>
      </c>
      <c r="C23652" s="171" t="s">
        <v>79</v>
      </c>
      <c r="D23652" s="171" t="s">
        <v>80</v>
      </c>
      <c r="E23652" s="11">
        <v>45658</v>
      </c>
      <c r="F23652">
        <v>0</v>
      </c>
      <c r="G23652">
        <v>0</v>
      </c>
      <c r="I23652">
        <v>0</v>
      </c>
      <c r="J23652">
        <v>0</v>
      </c>
      <c r="L23652">
        <v>0</v>
      </c>
      <c r="N23652">
        <v>0</v>
      </c>
      <c r="P23652">
        <v>0</v>
      </c>
      <c r="Q23652">
        <v>0</v>
      </c>
      <c r="S23652">
        <v>0</v>
      </c>
    </row>
    <row r="23653" spans="1:19" x14ac:dyDescent="0.3">
      <c r="A23653" t="str">
        <f t="shared" si="34"/>
        <v>All A-CRA ProvidersA-CRA CombinedJan-25</v>
      </c>
      <c r="B23653" s="171" t="s">
        <v>46568</v>
      </c>
      <c r="C23653" s="171" t="s">
        <v>79</v>
      </c>
      <c r="D23653" s="171" t="s">
        <v>4</v>
      </c>
      <c r="E23653" s="11">
        <v>45658</v>
      </c>
      <c r="F23653">
        <v>0</v>
      </c>
      <c r="G23653">
        <v>0</v>
      </c>
      <c r="I23653">
        <v>0</v>
      </c>
      <c r="J23653">
        <v>0</v>
      </c>
      <c r="L23653">
        <v>0</v>
      </c>
      <c r="N23653">
        <v>0</v>
      </c>
      <c r="P23653">
        <v>0</v>
      </c>
      <c r="Q23653">
        <v>0</v>
      </c>
      <c r="S23653">
        <v>0</v>
      </c>
    </row>
    <row r="23654" spans="1:19" x14ac:dyDescent="0.3">
      <c r="A23654" t="str">
        <f t="shared" si="34"/>
        <v>All CPP-FV ProvidersCPP-FV FFJan-25</v>
      </c>
      <c r="B23654" s="171" t="s">
        <v>46569</v>
      </c>
      <c r="C23654" s="171" t="s">
        <v>83</v>
      </c>
      <c r="D23654" s="171" t="s">
        <v>80</v>
      </c>
      <c r="E23654" s="11">
        <v>45658</v>
      </c>
      <c r="F23654">
        <v>4.5</v>
      </c>
      <c r="G23654">
        <v>5</v>
      </c>
      <c r="I23654">
        <v>11</v>
      </c>
      <c r="J23654">
        <v>24</v>
      </c>
      <c r="L23654">
        <v>28</v>
      </c>
      <c r="N23654">
        <v>11</v>
      </c>
      <c r="P23654">
        <v>0</v>
      </c>
      <c r="Q23654">
        <v>0</v>
      </c>
      <c r="S23654">
        <v>0</v>
      </c>
    </row>
    <row r="23655" spans="1:19" x14ac:dyDescent="0.3">
      <c r="A23655" t="str">
        <f t="shared" si="34"/>
        <v>All CPP-FV ProvidersCPP-FV DCSJan-25</v>
      </c>
      <c r="B23655" s="171" t="s">
        <v>46570</v>
      </c>
      <c r="C23655" s="171" t="s">
        <v>83</v>
      </c>
      <c r="D23655" s="171" t="s">
        <v>15341</v>
      </c>
      <c r="E23655" s="11">
        <v>45658</v>
      </c>
      <c r="F23655">
        <v>0</v>
      </c>
      <c r="G23655">
        <v>0</v>
      </c>
      <c r="I23655">
        <v>0</v>
      </c>
      <c r="J23655">
        <v>0</v>
      </c>
      <c r="L23655">
        <v>0</v>
      </c>
      <c r="N23655">
        <v>0</v>
      </c>
      <c r="P23655">
        <v>0</v>
      </c>
      <c r="Q23655">
        <v>0</v>
      </c>
      <c r="S23655">
        <v>0</v>
      </c>
    </row>
    <row r="23656" spans="1:19" x14ac:dyDescent="0.3">
      <c r="A23656" t="str">
        <f t="shared" si="34"/>
        <v>All CPP-FV ProvidersCPP-FV CombinedJan-25</v>
      </c>
      <c r="B23656" s="171" t="s">
        <v>46571</v>
      </c>
      <c r="C23656" s="171" t="s">
        <v>83</v>
      </c>
      <c r="D23656" s="171" t="s">
        <v>4</v>
      </c>
      <c r="E23656" s="11">
        <v>45658</v>
      </c>
      <c r="F23656">
        <v>4.5</v>
      </c>
      <c r="G23656">
        <v>5</v>
      </c>
      <c r="I23656">
        <v>11</v>
      </c>
      <c r="J23656">
        <v>24</v>
      </c>
      <c r="L23656">
        <v>28</v>
      </c>
      <c r="N23656">
        <v>11</v>
      </c>
      <c r="P23656">
        <v>0</v>
      </c>
      <c r="Q23656">
        <v>0</v>
      </c>
      <c r="S23656">
        <v>0</v>
      </c>
    </row>
    <row r="23657" spans="1:19" x14ac:dyDescent="0.3">
      <c r="A23657" t="str">
        <f t="shared" si="34"/>
        <v>All FFT ProvidersFFT FFJan-25</v>
      </c>
      <c r="B23657" s="171" t="s">
        <v>46572</v>
      </c>
      <c r="C23657" s="171" t="s">
        <v>86</v>
      </c>
      <c r="D23657" s="171" t="s">
        <v>80</v>
      </c>
      <c r="E23657" s="11">
        <v>45658</v>
      </c>
      <c r="F23657">
        <v>5</v>
      </c>
      <c r="G23657">
        <v>8</v>
      </c>
      <c r="I23657">
        <v>22</v>
      </c>
      <c r="J23657">
        <v>29</v>
      </c>
      <c r="L23657">
        <v>44</v>
      </c>
      <c r="N23657">
        <v>19</v>
      </c>
      <c r="P23657">
        <v>0</v>
      </c>
      <c r="Q23657">
        <v>0</v>
      </c>
      <c r="S23657">
        <v>3</v>
      </c>
    </row>
    <row r="23658" spans="1:19" x14ac:dyDescent="0.3">
      <c r="A23658" t="str">
        <f t="shared" si="34"/>
        <v>All FFT ProvidersFFT CombinedJan-25</v>
      </c>
      <c r="B23658" s="171" t="s">
        <v>46573</v>
      </c>
      <c r="C23658" s="171" t="s">
        <v>86</v>
      </c>
      <c r="D23658" s="171" t="s">
        <v>4</v>
      </c>
      <c r="E23658" s="11">
        <v>45658</v>
      </c>
      <c r="F23658">
        <v>5</v>
      </c>
      <c r="G23658">
        <v>8</v>
      </c>
      <c r="I23658">
        <v>22</v>
      </c>
      <c r="J23658">
        <v>29</v>
      </c>
      <c r="L23658">
        <v>44</v>
      </c>
      <c r="N23658">
        <v>19</v>
      </c>
      <c r="P23658">
        <v>0</v>
      </c>
      <c r="Q23658">
        <v>0</v>
      </c>
      <c r="S23658">
        <v>3</v>
      </c>
    </row>
    <row r="23659" spans="1:19" x14ac:dyDescent="0.3">
      <c r="A23659" t="str">
        <f t="shared" si="34"/>
        <v>All IHCBS ProvidersIHCBS FFJan-25</v>
      </c>
      <c r="B23659" s="171" t="s">
        <v>46574</v>
      </c>
      <c r="C23659" s="171" t="s">
        <v>40284</v>
      </c>
      <c r="D23659" s="171" t="s">
        <v>80</v>
      </c>
      <c r="E23659" s="11">
        <v>45658</v>
      </c>
      <c r="F23659">
        <v>11</v>
      </c>
      <c r="G23659">
        <v>16</v>
      </c>
      <c r="I23659">
        <v>40</v>
      </c>
      <c r="J23659">
        <v>44</v>
      </c>
      <c r="L23659">
        <v>64</v>
      </c>
      <c r="N23659">
        <v>34</v>
      </c>
      <c r="P23659">
        <v>6</v>
      </c>
      <c r="Q23659">
        <v>9</v>
      </c>
      <c r="S23659">
        <v>6</v>
      </c>
    </row>
    <row r="23660" spans="1:19" x14ac:dyDescent="0.3">
      <c r="A23660" t="str">
        <f t="shared" si="34"/>
        <v>All IHCBS ProvidersIHCBS CombinedJan-25</v>
      </c>
      <c r="B23660" s="171" t="s">
        <v>46575</v>
      </c>
      <c r="C23660" s="171" t="s">
        <v>40284</v>
      </c>
      <c r="D23660" s="171" t="s">
        <v>4</v>
      </c>
      <c r="E23660" s="11">
        <v>45658</v>
      </c>
      <c r="F23660">
        <v>11</v>
      </c>
      <c r="G23660">
        <v>16</v>
      </c>
      <c r="I23660">
        <v>40</v>
      </c>
      <c r="J23660">
        <v>44</v>
      </c>
      <c r="L23660">
        <v>64</v>
      </c>
      <c r="N23660">
        <v>34</v>
      </c>
      <c r="P23660">
        <v>6</v>
      </c>
      <c r="Q23660">
        <v>9</v>
      </c>
      <c r="S23660">
        <v>6</v>
      </c>
    </row>
    <row r="23661" spans="1:19" x14ac:dyDescent="0.3">
      <c r="A23661" t="str">
        <f t="shared" si="34"/>
        <v>All MST ProvidersMST FFJan-25</v>
      </c>
      <c r="B23661" s="171" t="s">
        <v>46576</v>
      </c>
      <c r="C23661" s="171" t="s">
        <v>89</v>
      </c>
      <c r="D23661" s="171" t="s">
        <v>80</v>
      </c>
      <c r="E23661" s="11">
        <v>45658</v>
      </c>
      <c r="F23661">
        <v>1</v>
      </c>
      <c r="G23661">
        <v>4</v>
      </c>
      <c r="I23661">
        <v>3</v>
      </c>
      <c r="J23661">
        <v>5</v>
      </c>
      <c r="L23661">
        <v>20</v>
      </c>
      <c r="N23661">
        <v>1</v>
      </c>
      <c r="P23661">
        <v>3</v>
      </c>
      <c r="Q23661">
        <v>3</v>
      </c>
      <c r="S23661">
        <v>2</v>
      </c>
    </row>
    <row r="23662" spans="1:19" x14ac:dyDescent="0.3">
      <c r="A23662" t="str">
        <f t="shared" si="34"/>
        <v>All MST ProvidersMST CombinedJan-25</v>
      </c>
      <c r="B23662" s="171" t="s">
        <v>46577</v>
      </c>
      <c r="C23662" s="171" t="s">
        <v>89</v>
      </c>
      <c r="D23662" s="171" t="s">
        <v>4</v>
      </c>
      <c r="E23662" s="11">
        <v>45658</v>
      </c>
      <c r="F23662">
        <v>1</v>
      </c>
      <c r="G23662">
        <v>4</v>
      </c>
      <c r="I23662">
        <v>3</v>
      </c>
      <c r="J23662">
        <v>5</v>
      </c>
      <c r="L23662">
        <v>20</v>
      </c>
      <c r="N23662">
        <v>1</v>
      </c>
      <c r="P23662">
        <v>3</v>
      </c>
      <c r="Q23662">
        <v>3</v>
      </c>
      <c r="S23662">
        <v>2</v>
      </c>
    </row>
    <row r="23663" spans="1:19" x14ac:dyDescent="0.3">
      <c r="A23663" t="str">
        <f t="shared" si="34"/>
        <v>All MST-PSB ProvidersMST-PSB FFJan-25</v>
      </c>
      <c r="B23663" s="171" t="s">
        <v>46578</v>
      </c>
      <c r="C23663" s="171" t="s">
        <v>92</v>
      </c>
      <c r="D23663" s="171" t="s">
        <v>80</v>
      </c>
      <c r="E23663" s="11">
        <v>45658</v>
      </c>
      <c r="F23663">
        <v>0</v>
      </c>
      <c r="G23663">
        <v>0</v>
      </c>
      <c r="I23663">
        <v>0</v>
      </c>
      <c r="J23663">
        <v>0</v>
      </c>
      <c r="L23663">
        <v>0</v>
      </c>
      <c r="N23663">
        <v>0</v>
      </c>
      <c r="P23663">
        <v>0</v>
      </c>
      <c r="Q23663">
        <v>0</v>
      </c>
      <c r="S23663">
        <v>0</v>
      </c>
    </row>
    <row r="23664" spans="1:19" x14ac:dyDescent="0.3">
      <c r="A23664" t="str">
        <f t="shared" si="34"/>
        <v>All MST-PSB ProvidersMST-PSB CombinedJan-25</v>
      </c>
      <c r="B23664" s="171" t="s">
        <v>46579</v>
      </c>
      <c r="C23664" s="171" t="s">
        <v>92</v>
      </c>
      <c r="D23664" s="171" t="s">
        <v>4</v>
      </c>
      <c r="E23664" s="11">
        <v>45658</v>
      </c>
      <c r="F23664">
        <v>0</v>
      </c>
      <c r="G23664">
        <v>0</v>
      </c>
      <c r="I23664">
        <v>0</v>
      </c>
      <c r="J23664">
        <v>0</v>
      </c>
      <c r="L23664">
        <v>0</v>
      </c>
      <c r="N23664">
        <v>0</v>
      </c>
      <c r="P23664">
        <v>0</v>
      </c>
      <c r="Q23664">
        <v>0</v>
      </c>
      <c r="S23664">
        <v>0</v>
      </c>
    </row>
    <row r="23665" spans="1:19" x14ac:dyDescent="0.3">
      <c r="A23665" t="str">
        <f t="shared" si="34"/>
        <v>All PCIT ProvidersPCIT FFJan-25</v>
      </c>
      <c r="B23665" s="171" t="s">
        <v>46580</v>
      </c>
      <c r="C23665" s="171" t="s">
        <v>95</v>
      </c>
      <c r="D23665" s="171" t="s">
        <v>80</v>
      </c>
      <c r="E23665" s="11">
        <v>45658</v>
      </c>
      <c r="F23665">
        <v>3</v>
      </c>
      <c r="G23665">
        <v>3.5</v>
      </c>
      <c r="I23665">
        <v>2</v>
      </c>
      <c r="J23665">
        <v>15</v>
      </c>
      <c r="L23665">
        <v>18</v>
      </c>
      <c r="N23665">
        <v>2</v>
      </c>
      <c r="P23665">
        <v>0</v>
      </c>
      <c r="Q23665">
        <v>0</v>
      </c>
      <c r="S23665">
        <v>0</v>
      </c>
    </row>
    <row r="23666" spans="1:19" x14ac:dyDescent="0.3">
      <c r="A23666" t="str">
        <f t="shared" si="34"/>
        <v>All PCIT ProvidersPCIT DCSJan-25</v>
      </c>
      <c r="B23666" s="171" t="s">
        <v>46581</v>
      </c>
      <c r="C23666" s="171" t="s">
        <v>95</v>
      </c>
      <c r="D23666" s="171" t="s">
        <v>15341</v>
      </c>
      <c r="E23666" s="11">
        <v>45658</v>
      </c>
      <c r="F23666">
        <v>0</v>
      </c>
      <c r="G23666">
        <v>0</v>
      </c>
      <c r="I23666">
        <v>0</v>
      </c>
      <c r="J23666">
        <v>0</v>
      </c>
      <c r="L23666">
        <v>0</v>
      </c>
      <c r="N23666">
        <v>0</v>
      </c>
      <c r="P23666">
        <v>0</v>
      </c>
      <c r="Q23666">
        <v>0</v>
      </c>
      <c r="S23666">
        <v>0</v>
      </c>
    </row>
    <row r="23667" spans="1:19" x14ac:dyDescent="0.3">
      <c r="A23667" t="str">
        <f t="shared" si="34"/>
        <v>All PCIT ProvidersPCIT CombinedJan-25</v>
      </c>
      <c r="B23667" s="171" t="s">
        <v>46582</v>
      </c>
      <c r="C23667" s="171" t="s">
        <v>95</v>
      </c>
      <c r="D23667" s="171" t="s">
        <v>4</v>
      </c>
      <c r="E23667" s="11">
        <v>45658</v>
      </c>
      <c r="F23667">
        <v>3</v>
      </c>
      <c r="G23667">
        <v>3.5</v>
      </c>
      <c r="I23667">
        <v>2</v>
      </c>
      <c r="J23667">
        <v>15</v>
      </c>
      <c r="L23667">
        <v>18</v>
      </c>
      <c r="N23667">
        <v>2</v>
      </c>
      <c r="P23667">
        <v>0</v>
      </c>
      <c r="Q23667">
        <v>0</v>
      </c>
      <c r="S23667">
        <v>0</v>
      </c>
    </row>
    <row r="23668" spans="1:19" x14ac:dyDescent="0.3">
      <c r="A23668" t="str">
        <f t="shared" si="34"/>
        <v>All PCIT-T ProvidersPCIT-T FFJan-25</v>
      </c>
      <c r="B23668" s="171" t="s">
        <v>46583</v>
      </c>
      <c r="C23668" s="171" t="s">
        <v>35161</v>
      </c>
      <c r="D23668" s="171" t="s">
        <v>80</v>
      </c>
      <c r="E23668" s="11">
        <v>45658</v>
      </c>
      <c r="F23668">
        <v>2.5</v>
      </c>
      <c r="G23668">
        <v>3.5</v>
      </c>
      <c r="I23668">
        <v>4</v>
      </c>
      <c r="J23668">
        <v>13</v>
      </c>
      <c r="L23668">
        <v>18</v>
      </c>
      <c r="N23668">
        <v>2</v>
      </c>
      <c r="P23668">
        <v>0</v>
      </c>
      <c r="Q23668">
        <v>0</v>
      </c>
      <c r="S23668">
        <v>2</v>
      </c>
    </row>
    <row r="23669" spans="1:19" x14ac:dyDescent="0.3">
      <c r="A23669" t="str">
        <f t="shared" si="34"/>
        <v>All PCIT-T ProvidersPCIT-T CombinedJan-25</v>
      </c>
      <c r="B23669" s="171" t="s">
        <v>46584</v>
      </c>
      <c r="C23669" s="171" t="s">
        <v>35161</v>
      </c>
      <c r="D23669" s="171" t="s">
        <v>4</v>
      </c>
      <c r="E23669" s="11">
        <v>45658</v>
      </c>
      <c r="F23669">
        <v>2.5</v>
      </c>
      <c r="G23669">
        <v>3.5</v>
      </c>
      <c r="I23669">
        <v>4</v>
      </c>
      <c r="J23669">
        <v>13</v>
      </c>
      <c r="L23669">
        <v>18</v>
      </c>
      <c r="N23669">
        <v>2</v>
      </c>
      <c r="P23669">
        <v>0</v>
      </c>
      <c r="Q23669">
        <v>0</v>
      </c>
      <c r="S23669">
        <v>2</v>
      </c>
    </row>
    <row r="23670" spans="1:19" x14ac:dyDescent="0.3">
      <c r="A23670" t="str">
        <f t="shared" si="34"/>
        <v>All SFCR ProvidersSFCR FFJan-25</v>
      </c>
      <c r="B23670" s="171" t="s">
        <v>46585</v>
      </c>
      <c r="C23670" s="171" t="s">
        <v>19659</v>
      </c>
      <c r="D23670" s="171" t="s">
        <v>80</v>
      </c>
      <c r="E23670" s="11">
        <v>45658</v>
      </c>
      <c r="F23670">
        <v>0</v>
      </c>
      <c r="G23670">
        <v>0</v>
      </c>
      <c r="I23670">
        <v>0</v>
      </c>
      <c r="J23670">
        <v>0</v>
      </c>
      <c r="L23670">
        <v>0</v>
      </c>
      <c r="N23670">
        <v>0</v>
      </c>
      <c r="P23670">
        <v>0</v>
      </c>
      <c r="Q23670">
        <v>0</v>
      </c>
      <c r="S23670">
        <v>0</v>
      </c>
    </row>
    <row r="23671" spans="1:19" x14ac:dyDescent="0.3">
      <c r="A23671" t="str">
        <f t="shared" si="34"/>
        <v>All SFCR ProvidersSFCR CombinedJan-25</v>
      </c>
      <c r="B23671" s="171" t="s">
        <v>46586</v>
      </c>
      <c r="C23671" s="171" t="s">
        <v>19659</v>
      </c>
      <c r="D23671" s="171" t="s">
        <v>4</v>
      </c>
      <c r="E23671" s="11">
        <v>45658</v>
      </c>
      <c r="F23671">
        <v>0</v>
      </c>
      <c r="G23671">
        <v>0</v>
      </c>
      <c r="I23671">
        <v>0</v>
      </c>
      <c r="J23671">
        <v>0</v>
      </c>
      <c r="L23671">
        <v>0</v>
      </c>
      <c r="N23671">
        <v>0</v>
      </c>
      <c r="P23671">
        <v>0</v>
      </c>
      <c r="Q23671">
        <v>0</v>
      </c>
      <c r="S23671">
        <v>0</v>
      </c>
    </row>
    <row r="23672" spans="1:19" x14ac:dyDescent="0.3">
      <c r="A23672" t="str">
        <f t="shared" si="34"/>
        <v>All TF-CBT ProvidersTF-CBT FFJan-25</v>
      </c>
      <c r="B23672" s="171" t="s">
        <v>46587</v>
      </c>
      <c r="C23672" s="171" t="s">
        <v>98</v>
      </c>
      <c r="D23672" s="171" t="s">
        <v>80</v>
      </c>
      <c r="E23672" s="11">
        <v>45658</v>
      </c>
      <c r="F23672">
        <v>8.5</v>
      </c>
      <c r="G23672">
        <v>13</v>
      </c>
      <c r="I23672">
        <v>27</v>
      </c>
      <c r="J23672">
        <v>49</v>
      </c>
      <c r="L23672">
        <v>72</v>
      </c>
      <c r="N23672">
        <v>25</v>
      </c>
      <c r="P23672">
        <v>0</v>
      </c>
      <c r="Q23672">
        <v>3</v>
      </c>
      <c r="S23672">
        <v>2</v>
      </c>
    </row>
    <row r="23673" spans="1:19" x14ac:dyDescent="0.3">
      <c r="A23673" t="str">
        <f t="shared" si="34"/>
        <v>All TF-CBT ProvidersTF-CBT CombinedJan-25</v>
      </c>
      <c r="B23673" s="171" t="s">
        <v>46588</v>
      </c>
      <c r="C23673" s="171" t="s">
        <v>98</v>
      </c>
      <c r="D23673" s="171" t="s">
        <v>4</v>
      </c>
      <c r="E23673" s="11">
        <v>45658</v>
      </c>
      <c r="F23673">
        <v>8.5</v>
      </c>
      <c r="G23673">
        <v>13</v>
      </c>
      <c r="I23673">
        <v>27</v>
      </c>
      <c r="J23673">
        <v>49</v>
      </c>
      <c r="L23673">
        <v>72</v>
      </c>
      <c r="N23673">
        <v>25</v>
      </c>
      <c r="P23673">
        <v>0</v>
      </c>
      <c r="Q23673">
        <v>3</v>
      </c>
      <c r="S23673">
        <v>2</v>
      </c>
    </row>
    <row r="23674" spans="1:19" x14ac:dyDescent="0.3">
      <c r="A23674" t="str">
        <f t="shared" si="34"/>
        <v>All TIP ProvidersTIP FFJan-25</v>
      </c>
      <c r="B23674" s="171" t="s">
        <v>46589</v>
      </c>
      <c r="C23674" s="171" t="s">
        <v>101</v>
      </c>
      <c r="D23674" s="171" t="s">
        <v>80</v>
      </c>
      <c r="E23674" s="11">
        <v>45658</v>
      </c>
      <c r="F23674">
        <v>25</v>
      </c>
      <c r="G23674">
        <v>28.5</v>
      </c>
      <c r="I23674">
        <v>179</v>
      </c>
      <c r="J23674">
        <v>278</v>
      </c>
      <c r="L23674">
        <v>316</v>
      </c>
      <c r="N23674">
        <v>160</v>
      </c>
      <c r="P23674">
        <v>6</v>
      </c>
      <c r="Q23674">
        <v>8</v>
      </c>
      <c r="S23674">
        <v>19</v>
      </c>
    </row>
    <row r="23675" spans="1:19" x14ac:dyDescent="0.3">
      <c r="A23675" t="str">
        <f t="shared" si="34"/>
        <v>All TIP ProvidersTIP CombinedJan-25</v>
      </c>
      <c r="B23675" s="171" t="s">
        <v>46590</v>
      </c>
      <c r="C23675" s="171" t="s">
        <v>101</v>
      </c>
      <c r="D23675" s="171" t="s">
        <v>4</v>
      </c>
      <c r="E23675" s="11">
        <v>45658</v>
      </c>
      <c r="F23675">
        <v>25</v>
      </c>
      <c r="G23675">
        <v>28.5</v>
      </c>
      <c r="I23675">
        <v>179</v>
      </c>
      <c r="J23675">
        <v>278</v>
      </c>
      <c r="L23675">
        <v>316</v>
      </c>
      <c r="N23675">
        <v>160</v>
      </c>
      <c r="P23675">
        <v>6</v>
      </c>
      <c r="Q23675">
        <v>8</v>
      </c>
      <c r="S23675">
        <v>19</v>
      </c>
    </row>
    <row r="23676" spans="1:19" x14ac:dyDescent="0.3">
      <c r="A23676" t="str">
        <f t="shared" si="34"/>
        <v>All TST ProvidersTST FFJan-25</v>
      </c>
      <c r="B23676" s="171" t="s">
        <v>46591</v>
      </c>
      <c r="C23676" s="171" t="s">
        <v>6843</v>
      </c>
      <c r="D23676" s="171" t="s">
        <v>80</v>
      </c>
      <c r="E23676" s="11">
        <v>45658</v>
      </c>
      <c r="F23676">
        <v>1</v>
      </c>
      <c r="G23676">
        <v>2.5</v>
      </c>
      <c r="I23676">
        <v>3</v>
      </c>
      <c r="J23676">
        <v>5</v>
      </c>
      <c r="L23676">
        <v>14</v>
      </c>
      <c r="N23676">
        <v>4</v>
      </c>
      <c r="P23676">
        <v>0</v>
      </c>
      <c r="Q23676">
        <v>0</v>
      </c>
      <c r="S23676">
        <v>0</v>
      </c>
    </row>
    <row r="23677" spans="1:19" x14ac:dyDescent="0.3">
      <c r="A23677" t="str">
        <f t="shared" si="34"/>
        <v>All TST ProvidersTST CombinedJan-25</v>
      </c>
      <c r="B23677" s="171" t="s">
        <v>46592</v>
      </c>
      <c r="C23677" s="171" t="s">
        <v>6843</v>
      </c>
      <c r="D23677" s="171" t="s">
        <v>4</v>
      </c>
      <c r="E23677" s="11">
        <v>45658</v>
      </c>
      <c r="F23677">
        <v>1</v>
      </c>
      <c r="G23677">
        <v>2.5</v>
      </c>
      <c r="I23677">
        <v>3</v>
      </c>
      <c r="J23677">
        <v>5</v>
      </c>
      <c r="L23677">
        <v>14</v>
      </c>
      <c r="N23677">
        <v>4</v>
      </c>
      <c r="P23677">
        <v>0</v>
      </c>
      <c r="Q23677">
        <v>0</v>
      </c>
      <c r="S23677">
        <v>0</v>
      </c>
    </row>
    <row r="23678" spans="1:19" x14ac:dyDescent="0.3">
      <c r="A23678" t="str">
        <f t="shared" si="34"/>
        <v>Families First ProvidersAll FFJan-25</v>
      </c>
      <c r="B23678" s="171" t="s">
        <v>46593</v>
      </c>
      <c r="C23678" s="171" t="s">
        <v>12995</v>
      </c>
      <c r="D23678" s="171" t="s">
        <v>80</v>
      </c>
      <c r="E23678" s="11">
        <v>45658</v>
      </c>
      <c r="F23678">
        <v>61.5</v>
      </c>
      <c r="G23678">
        <v>84</v>
      </c>
      <c r="I23678">
        <v>291</v>
      </c>
      <c r="J23678">
        <v>462</v>
      </c>
      <c r="L23678">
        <v>594</v>
      </c>
      <c r="N23678">
        <v>258</v>
      </c>
      <c r="O23678" t="s">
        <v>16361</v>
      </c>
      <c r="P23678">
        <v>15</v>
      </c>
      <c r="Q23678">
        <v>23</v>
      </c>
      <c r="S23678">
        <v>34</v>
      </c>
    </row>
    <row r="23679" spans="1:19" x14ac:dyDescent="0.3">
      <c r="A23679" t="str">
        <f t="shared" si="34"/>
        <v>DC Seed ProvidersAll DCSJan-25</v>
      </c>
      <c r="B23679" s="171" t="s">
        <v>46594</v>
      </c>
      <c r="C23679" s="171" t="s">
        <v>15504</v>
      </c>
      <c r="D23679" s="171" t="s">
        <v>15341</v>
      </c>
      <c r="E23679" s="11">
        <v>45658</v>
      </c>
      <c r="F23679">
        <v>0</v>
      </c>
      <c r="G23679">
        <v>0</v>
      </c>
      <c r="I23679">
        <v>0</v>
      </c>
      <c r="J23679">
        <v>0</v>
      </c>
      <c r="L23679">
        <v>0</v>
      </c>
      <c r="N23679">
        <v>0</v>
      </c>
      <c r="O23679" t="s">
        <v>16361</v>
      </c>
      <c r="P23679">
        <v>0</v>
      </c>
      <c r="Q23679">
        <v>0</v>
      </c>
      <c r="S23679">
        <v>0</v>
      </c>
    </row>
    <row r="23680" spans="1:19" x14ac:dyDescent="0.3">
      <c r="A23680" t="str">
        <f t="shared" si="34"/>
        <v>Trauma ProvidersAll FFJan-25</v>
      </c>
      <c r="B23680" s="171" t="s">
        <v>46595</v>
      </c>
      <c r="C23680" s="171" t="s">
        <v>15511</v>
      </c>
      <c r="D23680" s="171" t="s">
        <v>80</v>
      </c>
      <c r="E23680" s="11">
        <v>45658</v>
      </c>
      <c r="F23680">
        <v>18.5</v>
      </c>
      <c r="G23680">
        <v>25</v>
      </c>
      <c r="H23680">
        <v>201</v>
      </c>
      <c r="I23680">
        <v>44</v>
      </c>
      <c r="J23680">
        <v>101</v>
      </c>
      <c r="L23680">
        <v>136</v>
      </c>
      <c r="N23680">
        <v>40</v>
      </c>
      <c r="P23680">
        <v>0</v>
      </c>
      <c r="Q23680">
        <v>3</v>
      </c>
      <c r="S23680">
        <v>4</v>
      </c>
    </row>
    <row r="23681" spans="1:19" x14ac:dyDescent="0.3">
      <c r="A23681" t="str">
        <f t="shared" si="34"/>
        <v>Trauma ProvidersAll DCSJan-25</v>
      </c>
      <c r="B23681" s="171" t="s">
        <v>46596</v>
      </c>
      <c r="C23681" s="171" t="s">
        <v>15511</v>
      </c>
      <c r="D23681" s="171" t="s">
        <v>15341</v>
      </c>
      <c r="E23681" s="11">
        <v>45658</v>
      </c>
      <c r="F23681">
        <v>0</v>
      </c>
      <c r="G23681">
        <v>0</v>
      </c>
      <c r="I23681">
        <v>0</v>
      </c>
      <c r="J23681">
        <v>0</v>
      </c>
      <c r="L23681">
        <v>0</v>
      </c>
      <c r="N23681">
        <v>0</v>
      </c>
      <c r="P23681">
        <v>0</v>
      </c>
      <c r="Q23681">
        <v>0</v>
      </c>
      <c r="S23681">
        <v>0</v>
      </c>
    </row>
    <row r="23682" spans="1:19" x14ac:dyDescent="0.3">
      <c r="A23682" t="str">
        <f t="shared" si="34"/>
        <v>Trauma ProvidersAll CombinedJan-25</v>
      </c>
      <c r="B23682" s="171" t="s">
        <v>46597</v>
      </c>
      <c r="C23682" s="171" t="s">
        <v>15511</v>
      </c>
      <c r="D23682" s="171" t="s">
        <v>4</v>
      </c>
      <c r="E23682" s="11">
        <v>45658</v>
      </c>
      <c r="F23682">
        <v>18.5</v>
      </c>
      <c r="G23682">
        <v>25</v>
      </c>
      <c r="I23682">
        <v>44</v>
      </c>
      <c r="J23682">
        <v>101</v>
      </c>
      <c r="L23682">
        <v>136</v>
      </c>
      <c r="N23682">
        <v>40</v>
      </c>
      <c r="P23682">
        <v>0</v>
      </c>
      <c r="Q23682">
        <v>3</v>
      </c>
      <c r="S23682">
        <v>4</v>
      </c>
    </row>
    <row r="23683" spans="1:19" x14ac:dyDescent="0.3">
      <c r="A23683" t="str">
        <f t="shared" si="34"/>
        <v>AllAll CombinedJan-25</v>
      </c>
      <c r="B23683" s="171" t="s">
        <v>46598</v>
      </c>
      <c r="C23683" s="171" t="s">
        <v>104</v>
      </c>
      <c r="D23683" s="171" t="s">
        <v>4</v>
      </c>
      <c r="E23683" s="11">
        <v>45658</v>
      </c>
      <c r="F23683">
        <v>61.5</v>
      </c>
      <c r="G23683">
        <v>84</v>
      </c>
      <c r="I23683">
        <v>291</v>
      </c>
      <c r="J23683">
        <v>462</v>
      </c>
      <c r="L23683">
        <v>594</v>
      </c>
      <c r="N23683">
        <v>258</v>
      </c>
      <c r="P23683">
        <v>15</v>
      </c>
      <c r="Q23683">
        <v>23</v>
      </c>
      <c r="S23683">
        <v>34</v>
      </c>
    </row>
    <row r="23684" spans="1:19" x14ac:dyDescent="0.3">
      <c r="A23684" t="str">
        <f>C23684&amp;" "&amp;D23684&amp;"Feb-25"</f>
        <v>DBH Parent SupportABC FFFeb-25</v>
      </c>
      <c r="B23684" s="171" t="s">
        <v>46599</v>
      </c>
      <c r="C23684" s="171" t="s">
        <v>34754</v>
      </c>
      <c r="D23684" s="171" t="s">
        <v>80</v>
      </c>
      <c r="E23684" s="11">
        <v>45689</v>
      </c>
      <c r="F23684">
        <v>0</v>
      </c>
      <c r="G23684">
        <v>0</v>
      </c>
      <c r="I23684">
        <v>0</v>
      </c>
      <c r="J23684">
        <v>0</v>
      </c>
      <c r="L23684">
        <v>0</v>
      </c>
      <c r="N23684">
        <v>0</v>
      </c>
      <c r="P23684">
        <v>0</v>
      </c>
      <c r="Q23684">
        <v>0</v>
      </c>
      <c r="S23684">
        <v>0</v>
      </c>
    </row>
    <row r="23685" spans="1:19" x14ac:dyDescent="0.3">
      <c r="A23685" t="str">
        <f t="shared" ref="A23685:A23748" si="35">C23685&amp;" "&amp;D23685&amp;"Feb-25"</f>
        <v>Healthy FuturesABC FFFeb-25</v>
      </c>
      <c r="B23685" s="171" t="s">
        <v>46600</v>
      </c>
      <c r="C23685" s="171" t="s">
        <v>34757</v>
      </c>
      <c r="D23685" s="171" t="s">
        <v>80</v>
      </c>
      <c r="E23685" s="11">
        <v>45689</v>
      </c>
      <c r="F23685">
        <v>0</v>
      </c>
      <c r="G23685">
        <v>0</v>
      </c>
      <c r="I23685">
        <v>0</v>
      </c>
      <c r="J23685">
        <v>0</v>
      </c>
      <c r="L23685">
        <v>0</v>
      </c>
      <c r="N23685">
        <v>0</v>
      </c>
      <c r="P23685">
        <v>0</v>
      </c>
      <c r="Q23685">
        <v>0</v>
      </c>
      <c r="S23685">
        <v>0</v>
      </c>
    </row>
    <row r="23686" spans="1:19" x14ac:dyDescent="0.3">
      <c r="A23686" t="str">
        <f t="shared" si="35"/>
        <v>Marys CenterABC FFFeb-25</v>
      </c>
      <c r="B23686" s="171" t="s">
        <v>46601</v>
      </c>
      <c r="C23686" s="171" t="s">
        <v>34760</v>
      </c>
      <c r="D23686" s="171" t="s">
        <v>80</v>
      </c>
      <c r="E23686" s="11">
        <v>45689</v>
      </c>
      <c r="F23686">
        <v>0</v>
      </c>
      <c r="G23686">
        <v>0</v>
      </c>
      <c r="I23686">
        <v>0</v>
      </c>
      <c r="J23686">
        <v>0</v>
      </c>
      <c r="L23686">
        <v>0</v>
      </c>
      <c r="N23686">
        <v>0</v>
      </c>
      <c r="P23686">
        <v>0</v>
      </c>
      <c r="Q23686">
        <v>0</v>
      </c>
      <c r="S23686">
        <v>0</v>
      </c>
    </row>
    <row r="23687" spans="1:19" x14ac:dyDescent="0.3">
      <c r="A23687" t="str">
        <f t="shared" si="35"/>
        <v>Medstar GeorgetownABC FFFeb-25</v>
      </c>
      <c r="B23687" s="171" t="s">
        <v>46602</v>
      </c>
      <c r="C23687" s="171" t="s">
        <v>34763</v>
      </c>
      <c r="D23687" s="171" t="s">
        <v>80</v>
      </c>
      <c r="E23687" s="11">
        <v>45689</v>
      </c>
      <c r="F23687">
        <v>0</v>
      </c>
      <c r="G23687">
        <v>0</v>
      </c>
      <c r="I23687">
        <v>0</v>
      </c>
      <c r="J23687">
        <v>0</v>
      </c>
      <c r="L23687">
        <v>0</v>
      </c>
      <c r="N23687">
        <v>0</v>
      </c>
      <c r="P23687">
        <v>0</v>
      </c>
      <c r="Q23687">
        <v>0</v>
      </c>
      <c r="S23687">
        <v>0</v>
      </c>
    </row>
    <row r="23688" spans="1:19" x14ac:dyDescent="0.3">
      <c r="A23688" t="str">
        <f t="shared" si="35"/>
        <v>PIECEABC FFFeb-25</v>
      </c>
      <c r="B23688" s="171" t="s">
        <v>46603</v>
      </c>
      <c r="C23688" s="171" t="s">
        <v>34766</v>
      </c>
      <c r="D23688" s="171" t="s">
        <v>80</v>
      </c>
      <c r="E23688" s="11">
        <v>45689</v>
      </c>
      <c r="F23688">
        <v>0</v>
      </c>
      <c r="G23688">
        <v>0</v>
      </c>
      <c r="I23688">
        <v>0</v>
      </c>
      <c r="J23688">
        <v>0</v>
      </c>
      <c r="L23688">
        <v>0</v>
      </c>
      <c r="N23688">
        <v>0</v>
      </c>
      <c r="P23688">
        <v>0</v>
      </c>
      <c r="Q23688">
        <v>0</v>
      </c>
      <c r="S23688">
        <v>0</v>
      </c>
    </row>
    <row r="23689" spans="1:19" x14ac:dyDescent="0.3">
      <c r="A23689" t="str">
        <f t="shared" si="35"/>
        <v>Federal CityA-CRA FFFeb-25</v>
      </c>
      <c r="B23689" s="171" t="s">
        <v>46604</v>
      </c>
      <c r="C23689" s="171" t="s">
        <v>119</v>
      </c>
      <c r="D23689" s="171" t="s">
        <v>80</v>
      </c>
      <c r="E23689" s="11">
        <v>45689</v>
      </c>
      <c r="F23689">
        <v>0</v>
      </c>
      <c r="G23689">
        <v>0</v>
      </c>
      <c r="I23689">
        <v>0</v>
      </c>
      <c r="J23689">
        <v>0</v>
      </c>
      <c r="L23689">
        <v>0</v>
      </c>
      <c r="N23689">
        <v>0</v>
      </c>
      <c r="P23689">
        <v>0</v>
      </c>
      <c r="Q23689">
        <v>0</v>
      </c>
      <c r="S23689">
        <v>0</v>
      </c>
    </row>
    <row r="23690" spans="1:19" x14ac:dyDescent="0.3">
      <c r="A23690" t="str">
        <f t="shared" si="35"/>
        <v>HillcrestA-CRA FFFeb-25</v>
      </c>
      <c r="B23690" s="171" t="s">
        <v>46605</v>
      </c>
      <c r="C23690" s="171" t="s">
        <v>143</v>
      </c>
      <c r="D23690" s="171" t="s">
        <v>80</v>
      </c>
      <c r="E23690" s="11">
        <v>45689</v>
      </c>
      <c r="F23690">
        <v>0</v>
      </c>
      <c r="G23690">
        <v>0</v>
      </c>
      <c r="I23690">
        <v>0</v>
      </c>
      <c r="J23690">
        <v>0</v>
      </c>
      <c r="L23690">
        <v>0</v>
      </c>
      <c r="N23690">
        <v>0</v>
      </c>
      <c r="P23690">
        <v>0</v>
      </c>
      <c r="Q23690">
        <v>0</v>
      </c>
      <c r="S23690">
        <v>0</v>
      </c>
    </row>
    <row r="23691" spans="1:19" x14ac:dyDescent="0.3">
      <c r="A23691" t="str">
        <f t="shared" si="35"/>
        <v>LAYCA-CRA FFFeb-25</v>
      </c>
      <c r="B23691" s="171" t="s">
        <v>46606</v>
      </c>
      <c r="C23691" s="171" t="s">
        <v>158</v>
      </c>
      <c r="D23691" s="171" t="s">
        <v>80</v>
      </c>
      <c r="E23691" s="11">
        <v>45689</v>
      </c>
      <c r="F23691">
        <v>0</v>
      </c>
      <c r="G23691">
        <v>0</v>
      </c>
      <c r="I23691">
        <v>0</v>
      </c>
      <c r="J23691">
        <v>0</v>
      </c>
      <c r="L23691">
        <v>0</v>
      </c>
      <c r="N23691">
        <v>0</v>
      </c>
      <c r="P23691">
        <v>0</v>
      </c>
      <c r="Q23691">
        <v>0</v>
      </c>
      <c r="S23691">
        <v>0</v>
      </c>
    </row>
    <row r="23692" spans="1:19" x14ac:dyDescent="0.3">
      <c r="A23692" t="str">
        <f t="shared" si="35"/>
        <v>RiversideA-CRA FFFeb-25</v>
      </c>
      <c r="B23692" s="171" t="s">
        <v>46607</v>
      </c>
      <c r="C23692" s="171" t="s">
        <v>209</v>
      </c>
      <c r="D23692" s="171" t="s">
        <v>80</v>
      </c>
      <c r="E23692" s="11">
        <v>45689</v>
      </c>
      <c r="F23692">
        <v>0</v>
      </c>
      <c r="G23692">
        <v>0</v>
      </c>
      <c r="I23692">
        <v>0</v>
      </c>
      <c r="J23692">
        <v>0</v>
      </c>
      <c r="L23692">
        <v>0</v>
      </c>
      <c r="N23692">
        <v>0</v>
      </c>
      <c r="P23692">
        <v>0</v>
      </c>
      <c r="Q23692">
        <v>0</v>
      </c>
      <c r="S23692">
        <v>0</v>
      </c>
    </row>
    <row r="23693" spans="1:19" x14ac:dyDescent="0.3">
      <c r="A23693" t="str">
        <f t="shared" si="35"/>
        <v>Adoptions TogetherCPP-FV FFFeb-25</v>
      </c>
      <c r="B23693" s="171" t="s">
        <v>46608</v>
      </c>
      <c r="C23693" s="171" t="s">
        <v>76</v>
      </c>
      <c r="D23693" s="171" t="s">
        <v>80</v>
      </c>
      <c r="E23693" s="11">
        <v>45689</v>
      </c>
      <c r="F23693">
        <v>0</v>
      </c>
      <c r="G23693">
        <v>0</v>
      </c>
      <c r="I23693">
        <v>0</v>
      </c>
      <c r="J23693">
        <v>0</v>
      </c>
      <c r="L23693">
        <v>0</v>
      </c>
      <c r="N23693">
        <v>0</v>
      </c>
      <c r="P23693">
        <v>0</v>
      </c>
      <c r="Q23693">
        <v>0</v>
      </c>
      <c r="S23693">
        <v>0</v>
      </c>
    </row>
    <row r="23694" spans="1:19" x14ac:dyDescent="0.3">
      <c r="A23694" t="str">
        <f t="shared" si="35"/>
        <v>Community ConnectionsCPP-FV DCSFeb-25</v>
      </c>
      <c r="B23694" s="171" t="s">
        <v>46609</v>
      </c>
      <c r="C23694" s="171" t="s">
        <v>15340</v>
      </c>
      <c r="D23694" s="171" t="s">
        <v>15341</v>
      </c>
      <c r="E23694" s="11">
        <v>45689</v>
      </c>
      <c r="F23694">
        <v>0</v>
      </c>
      <c r="G23694">
        <v>0</v>
      </c>
      <c r="I23694">
        <v>0</v>
      </c>
      <c r="J23694">
        <v>0</v>
      </c>
      <c r="L23694">
        <v>0</v>
      </c>
      <c r="N23694">
        <v>0</v>
      </c>
      <c r="P23694">
        <v>0</v>
      </c>
      <c r="Q23694">
        <v>0</v>
      </c>
      <c r="S23694">
        <v>0</v>
      </c>
    </row>
    <row r="23695" spans="1:19" x14ac:dyDescent="0.3">
      <c r="A23695" t="str">
        <f t="shared" si="35"/>
        <v>Community ConnectionsCPP-FV FFFeb-25</v>
      </c>
      <c r="B23695" s="171" t="s">
        <v>46610</v>
      </c>
      <c r="C23695" s="171" t="s">
        <v>15340</v>
      </c>
      <c r="D23695" s="171" t="s">
        <v>80</v>
      </c>
      <c r="E23695" s="11">
        <v>45689</v>
      </c>
      <c r="F23695">
        <v>0</v>
      </c>
      <c r="G23695">
        <v>0</v>
      </c>
      <c r="I23695">
        <v>0</v>
      </c>
      <c r="J23695">
        <v>0</v>
      </c>
      <c r="L23695">
        <v>0</v>
      </c>
      <c r="N23695">
        <v>0</v>
      </c>
      <c r="P23695">
        <v>0</v>
      </c>
      <c r="Q23695">
        <v>0</v>
      </c>
      <c r="S23695">
        <v>0</v>
      </c>
    </row>
    <row r="23696" spans="1:19" x14ac:dyDescent="0.3">
      <c r="A23696" t="str">
        <f t="shared" si="35"/>
        <v>Foundations for Home &amp; CommunityCPP-FV DCSFeb-25</v>
      </c>
      <c r="B23696" s="171" t="s">
        <v>46611</v>
      </c>
      <c r="C23696" s="171" t="s">
        <v>15344</v>
      </c>
      <c r="D23696" s="171" t="s">
        <v>15341</v>
      </c>
      <c r="E23696" s="11">
        <v>45689</v>
      </c>
      <c r="F23696">
        <v>0</v>
      </c>
      <c r="G23696">
        <v>0</v>
      </c>
      <c r="I23696">
        <v>0</v>
      </c>
      <c r="J23696">
        <v>0</v>
      </c>
      <c r="L23696">
        <v>0</v>
      </c>
      <c r="N23696">
        <v>0</v>
      </c>
      <c r="P23696">
        <v>0</v>
      </c>
      <c r="Q23696">
        <v>0</v>
      </c>
      <c r="S23696">
        <v>0</v>
      </c>
    </row>
    <row r="23697" spans="1:19" x14ac:dyDescent="0.3">
      <c r="A23697" t="str">
        <f t="shared" si="35"/>
        <v>Marys CenterCPP-FV DCSFeb-25</v>
      </c>
      <c r="B23697" s="171" t="s">
        <v>46612</v>
      </c>
      <c r="C23697" s="171" t="s">
        <v>15347</v>
      </c>
      <c r="D23697" s="171" t="s">
        <v>15341</v>
      </c>
      <c r="E23697" s="11">
        <v>45689</v>
      </c>
      <c r="F23697">
        <v>0</v>
      </c>
      <c r="G23697">
        <v>0</v>
      </c>
      <c r="I23697">
        <v>0</v>
      </c>
      <c r="J23697">
        <v>0</v>
      </c>
      <c r="L23697">
        <v>0</v>
      </c>
      <c r="N23697">
        <v>0</v>
      </c>
      <c r="P23697">
        <v>0</v>
      </c>
      <c r="Q23697">
        <v>0</v>
      </c>
      <c r="S23697">
        <v>0</v>
      </c>
    </row>
    <row r="23698" spans="1:19" x14ac:dyDescent="0.3">
      <c r="A23698" t="str">
        <f t="shared" si="35"/>
        <v>Marys CenterCPP-FV FFFeb-25</v>
      </c>
      <c r="B23698" s="171" t="s">
        <v>46613</v>
      </c>
      <c r="C23698" s="171" t="s">
        <v>15347</v>
      </c>
      <c r="D23698" s="171" t="s">
        <v>80</v>
      </c>
      <c r="E23698" s="11">
        <v>45689</v>
      </c>
      <c r="F23698">
        <v>1.5</v>
      </c>
      <c r="G23698">
        <v>2.5</v>
      </c>
      <c r="I23698">
        <v>6</v>
      </c>
      <c r="J23698">
        <v>9</v>
      </c>
      <c r="L23698">
        <v>15</v>
      </c>
      <c r="N23698">
        <v>6</v>
      </c>
      <c r="P23698">
        <v>0</v>
      </c>
      <c r="Q23698">
        <v>1</v>
      </c>
      <c r="S23698">
        <v>0</v>
      </c>
    </row>
    <row r="23699" spans="1:19" x14ac:dyDescent="0.3">
      <c r="A23699" t="str">
        <f t="shared" si="35"/>
        <v>PIECECPP-FV DCSFeb-25</v>
      </c>
      <c r="B23699" s="171" t="s">
        <v>46614</v>
      </c>
      <c r="C23699" s="171" t="s">
        <v>203</v>
      </c>
      <c r="D23699" s="171" t="s">
        <v>15341</v>
      </c>
      <c r="E23699" s="11">
        <v>45689</v>
      </c>
      <c r="F23699">
        <v>0</v>
      </c>
      <c r="G23699">
        <v>0</v>
      </c>
      <c r="I23699">
        <v>0</v>
      </c>
      <c r="J23699">
        <v>0</v>
      </c>
      <c r="L23699">
        <v>0</v>
      </c>
      <c r="N23699">
        <v>0</v>
      </c>
      <c r="P23699">
        <v>0</v>
      </c>
      <c r="Q23699">
        <v>0</v>
      </c>
      <c r="S23699">
        <v>0</v>
      </c>
    </row>
    <row r="23700" spans="1:19" x14ac:dyDescent="0.3">
      <c r="A23700" t="str">
        <f t="shared" si="35"/>
        <v>PIECECPP-FV FFFeb-25</v>
      </c>
      <c r="B23700" s="171" t="s">
        <v>46615</v>
      </c>
      <c r="C23700" s="171" t="s">
        <v>203</v>
      </c>
      <c r="D23700" s="171" t="s">
        <v>80</v>
      </c>
      <c r="E23700" s="11">
        <v>45689</v>
      </c>
      <c r="F23700">
        <v>3</v>
      </c>
      <c r="G23700">
        <v>2.5</v>
      </c>
      <c r="I23700">
        <v>4</v>
      </c>
      <c r="J23700">
        <v>15</v>
      </c>
      <c r="L23700">
        <v>13</v>
      </c>
      <c r="N23700">
        <v>4</v>
      </c>
      <c r="P23700">
        <v>0</v>
      </c>
      <c r="Q23700">
        <v>0</v>
      </c>
      <c r="S23700">
        <v>0</v>
      </c>
    </row>
    <row r="23701" spans="1:19" x14ac:dyDescent="0.3">
      <c r="A23701" t="str">
        <f t="shared" si="35"/>
        <v>Medstar GeorgetownCPP-FV DCSFeb-25</v>
      </c>
      <c r="B23701" s="171" t="s">
        <v>46616</v>
      </c>
      <c r="C23701" s="171" t="s">
        <v>24281</v>
      </c>
      <c r="D23701" s="171" t="s">
        <v>15341</v>
      </c>
      <c r="E23701" s="11">
        <v>45689</v>
      </c>
      <c r="F23701">
        <v>0</v>
      </c>
      <c r="G23701">
        <v>0</v>
      </c>
      <c r="I23701">
        <v>0</v>
      </c>
      <c r="J23701">
        <v>0</v>
      </c>
      <c r="L23701">
        <v>0</v>
      </c>
      <c r="N23701">
        <v>0</v>
      </c>
      <c r="P23701">
        <v>0</v>
      </c>
      <c r="Q23701">
        <v>0</v>
      </c>
      <c r="S23701">
        <v>0</v>
      </c>
    </row>
    <row r="23702" spans="1:19" x14ac:dyDescent="0.3">
      <c r="A23702" t="str">
        <f t="shared" si="35"/>
        <v>Medstar GeorgetownCPP-FV FFFeb-25</v>
      </c>
      <c r="B23702" s="171" t="s">
        <v>46617</v>
      </c>
      <c r="C23702" s="171" t="s">
        <v>24281</v>
      </c>
      <c r="D23702" s="171" t="s">
        <v>80</v>
      </c>
      <c r="E23702" s="11">
        <v>45689</v>
      </c>
      <c r="F23702">
        <v>0</v>
      </c>
      <c r="G23702">
        <v>0</v>
      </c>
      <c r="I23702">
        <v>0</v>
      </c>
      <c r="J23702">
        <v>0</v>
      </c>
      <c r="L23702">
        <v>0</v>
      </c>
      <c r="N23702">
        <v>0</v>
      </c>
      <c r="P23702">
        <v>0</v>
      </c>
      <c r="Q23702">
        <v>0</v>
      </c>
      <c r="S23702">
        <v>0</v>
      </c>
    </row>
    <row r="23703" spans="1:19" x14ac:dyDescent="0.3">
      <c r="A23703" t="str">
        <f t="shared" si="35"/>
        <v>Better MorningsFFT FFFeb-25</v>
      </c>
      <c r="B23703" s="171" t="s">
        <v>46618</v>
      </c>
      <c r="C23703" s="171" t="s">
        <v>24284</v>
      </c>
      <c r="D23703" s="171" t="s">
        <v>80</v>
      </c>
      <c r="E23703" s="11">
        <v>45689</v>
      </c>
      <c r="F23703">
        <v>3</v>
      </c>
      <c r="G23703">
        <v>3</v>
      </c>
      <c r="I23703">
        <v>9</v>
      </c>
      <c r="J23703">
        <v>17</v>
      </c>
      <c r="L23703">
        <v>17</v>
      </c>
      <c r="N23703">
        <v>5</v>
      </c>
      <c r="P23703">
        <v>1</v>
      </c>
      <c r="Q23703">
        <v>3</v>
      </c>
      <c r="S23703">
        <v>4</v>
      </c>
    </row>
    <row r="23704" spans="1:19" x14ac:dyDescent="0.3">
      <c r="A23704" t="str">
        <f t="shared" si="35"/>
        <v>CatholicFFT FFFeb-25</v>
      </c>
      <c r="B23704" s="171" t="s">
        <v>46619</v>
      </c>
      <c r="C23704" s="171" t="s">
        <v>18126</v>
      </c>
      <c r="D23704" s="171" t="s">
        <v>80</v>
      </c>
      <c r="E23704" s="11">
        <v>45689</v>
      </c>
      <c r="F23704">
        <v>0</v>
      </c>
      <c r="G23704">
        <v>0</v>
      </c>
      <c r="I23704">
        <v>0</v>
      </c>
      <c r="J23704">
        <v>0</v>
      </c>
      <c r="L23704">
        <v>0</v>
      </c>
      <c r="N23704">
        <v>0</v>
      </c>
      <c r="P23704">
        <v>0</v>
      </c>
      <c r="Q23704">
        <v>0</v>
      </c>
      <c r="S23704">
        <v>0</v>
      </c>
    </row>
    <row r="23705" spans="1:19" x14ac:dyDescent="0.3">
      <c r="A23705" t="str">
        <f t="shared" si="35"/>
        <v>First Home CareFFT FFFeb-25</v>
      </c>
      <c r="B23705" s="171" t="s">
        <v>46620</v>
      </c>
      <c r="C23705" s="171" t="s">
        <v>128</v>
      </c>
      <c r="D23705" s="171" t="s">
        <v>80</v>
      </c>
      <c r="E23705" s="11">
        <v>45689</v>
      </c>
      <c r="F23705">
        <v>0</v>
      </c>
      <c r="G23705">
        <v>0</v>
      </c>
      <c r="I23705">
        <v>0</v>
      </c>
      <c r="J23705">
        <v>0</v>
      </c>
      <c r="L23705">
        <v>0</v>
      </c>
      <c r="N23705">
        <v>0</v>
      </c>
      <c r="P23705">
        <v>0</v>
      </c>
      <c r="Q23705">
        <v>0</v>
      </c>
      <c r="S23705">
        <v>0</v>
      </c>
    </row>
    <row r="23706" spans="1:19" x14ac:dyDescent="0.3">
      <c r="A23706" t="str">
        <f t="shared" si="35"/>
        <v>Foundations for Home &amp; CommunityFFT FFFeb-25</v>
      </c>
      <c r="B23706" s="171" t="s">
        <v>46621</v>
      </c>
      <c r="C23706" s="171" t="s">
        <v>14824</v>
      </c>
      <c r="D23706" s="171" t="s">
        <v>80</v>
      </c>
      <c r="E23706" s="11">
        <v>45689</v>
      </c>
      <c r="F23706">
        <v>0</v>
      </c>
      <c r="G23706">
        <v>0</v>
      </c>
      <c r="I23706">
        <v>0</v>
      </c>
      <c r="J23706">
        <v>0</v>
      </c>
      <c r="L23706">
        <v>0</v>
      </c>
      <c r="N23706">
        <v>0</v>
      </c>
      <c r="P23706">
        <v>0</v>
      </c>
      <c r="Q23706">
        <v>0</v>
      </c>
      <c r="S23706">
        <v>0</v>
      </c>
    </row>
    <row r="23707" spans="1:19" x14ac:dyDescent="0.3">
      <c r="A23707" t="str">
        <f t="shared" si="35"/>
        <v>HillcrestFFT FFFeb-25</v>
      </c>
      <c r="B23707" s="171" t="s">
        <v>46622</v>
      </c>
      <c r="C23707" s="171" t="s">
        <v>152</v>
      </c>
      <c r="D23707" s="171" t="s">
        <v>80</v>
      </c>
      <c r="E23707" s="11">
        <v>45689</v>
      </c>
      <c r="F23707">
        <v>0</v>
      </c>
      <c r="G23707">
        <v>0</v>
      </c>
      <c r="I23707">
        <v>0</v>
      </c>
      <c r="J23707">
        <v>0</v>
      </c>
      <c r="L23707">
        <v>0</v>
      </c>
      <c r="N23707">
        <v>0</v>
      </c>
      <c r="P23707">
        <v>0</v>
      </c>
      <c r="Q23707">
        <v>0</v>
      </c>
      <c r="S23707">
        <v>0</v>
      </c>
    </row>
    <row r="23708" spans="1:19" x14ac:dyDescent="0.3">
      <c r="A23708" t="str">
        <f t="shared" si="35"/>
        <v>PASSFFT FFFeb-25</v>
      </c>
      <c r="B23708" s="171" t="s">
        <v>46623</v>
      </c>
      <c r="C23708" s="171" t="s">
        <v>194</v>
      </c>
      <c r="D23708" s="171" t="s">
        <v>80</v>
      </c>
      <c r="E23708" s="11">
        <v>45689</v>
      </c>
      <c r="F23708">
        <v>2</v>
      </c>
      <c r="G23708">
        <v>5</v>
      </c>
      <c r="I23708">
        <v>12</v>
      </c>
      <c r="J23708">
        <v>12</v>
      </c>
      <c r="L23708">
        <v>27</v>
      </c>
      <c r="N23708">
        <v>11</v>
      </c>
      <c r="P23708">
        <v>1</v>
      </c>
      <c r="Q23708">
        <v>3</v>
      </c>
      <c r="S23708">
        <v>1</v>
      </c>
    </row>
    <row r="23709" spans="1:19" x14ac:dyDescent="0.3">
      <c r="A23709" t="str">
        <f t="shared" si="35"/>
        <v>Better MorningsIHCBS FFFeb-25</v>
      </c>
      <c r="B23709" s="171" t="s">
        <v>46624</v>
      </c>
      <c r="C23709" s="171" t="s">
        <v>39930</v>
      </c>
      <c r="D23709" s="171" t="s">
        <v>80</v>
      </c>
      <c r="E23709" s="11">
        <v>45689</v>
      </c>
      <c r="F23709">
        <v>4</v>
      </c>
      <c r="G23709">
        <v>4</v>
      </c>
      <c r="I23709">
        <v>21</v>
      </c>
      <c r="J23709">
        <v>16</v>
      </c>
      <c r="L23709">
        <v>16</v>
      </c>
      <c r="N23709">
        <v>15</v>
      </c>
      <c r="P23709">
        <v>3</v>
      </c>
      <c r="Q23709">
        <v>3</v>
      </c>
      <c r="S23709">
        <v>6</v>
      </c>
    </row>
    <row r="23710" spans="1:19" x14ac:dyDescent="0.3">
      <c r="A23710" t="str">
        <f t="shared" si="35"/>
        <v>HillcrestIHCBS FFFeb-25</v>
      </c>
      <c r="B23710" s="171" t="s">
        <v>46625</v>
      </c>
      <c r="C23710" s="171" t="s">
        <v>39933</v>
      </c>
      <c r="D23710" s="171" t="s">
        <v>80</v>
      </c>
      <c r="E23710" s="11">
        <v>45689</v>
      </c>
      <c r="F23710">
        <v>3</v>
      </c>
      <c r="G23710">
        <v>4</v>
      </c>
      <c r="I23710">
        <v>18</v>
      </c>
      <c r="J23710">
        <v>12</v>
      </c>
      <c r="L23710">
        <v>16</v>
      </c>
      <c r="N23710">
        <v>15</v>
      </c>
      <c r="P23710">
        <v>0</v>
      </c>
      <c r="Q23710">
        <v>0</v>
      </c>
      <c r="S23710">
        <v>3</v>
      </c>
    </row>
    <row r="23711" spans="1:19" x14ac:dyDescent="0.3">
      <c r="A23711" t="str">
        <f t="shared" si="35"/>
        <v>LESIHCBS FFFeb-25</v>
      </c>
      <c r="B23711" s="171" t="s">
        <v>46626</v>
      </c>
      <c r="C23711" s="171" t="s">
        <v>39936</v>
      </c>
      <c r="D23711" s="171" t="s">
        <v>80</v>
      </c>
      <c r="E23711" s="11">
        <v>45689</v>
      </c>
      <c r="F23711">
        <v>0</v>
      </c>
      <c r="G23711">
        <v>0</v>
      </c>
      <c r="I23711">
        <v>0</v>
      </c>
      <c r="J23711">
        <v>0</v>
      </c>
      <c r="L23711">
        <v>0</v>
      </c>
      <c r="N23711">
        <v>0</v>
      </c>
      <c r="P23711">
        <v>0</v>
      </c>
      <c r="Q23711">
        <v>0</v>
      </c>
      <c r="S23711">
        <v>0</v>
      </c>
    </row>
    <row r="23712" spans="1:19" x14ac:dyDescent="0.3">
      <c r="A23712" t="str">
        <f t="shared" si="35"/>
        <v>MBI HSIHCBS FFFeb-25</v>
      </c>
      <c r="B23712" s="171" t="s">
        <v>46627</v>
      </c>
      <c r="C23712" s="171" t="s">
        <v>39939</v>
      </c>
      <c r="D23712" s="171" t="s">
        <v>80</v>
      </c>
      <c r="E23712" s="11">
        <v>45689</v>
      </c>
      <c r="F23712">
        <v>2</v>
      </c>
      <c r="G23712">
        <v>2</v>
      </c>
      <c r="I23712">
        <v>7</v>
      </c>
      <c r="J23712">
        <v>8</v>
      </c>
      <c r="L23712">
        <v>8</v>
      </c>
      <c r="N23712">
        <v>5</v>
      </c>
      <c r="P23712">
        <v>0</v>
      </c>
      <c r="Q23712">
        <v>0</v>
      </c>
      <c r="S23712">
        <v>2</v>
      </c>
    </row>
    <row r="23713" spans="1:19" x14ac:dyDescent="0.3">
      <c r="A23713" t="str">
        <f t="shared" si="35"/>
        <v>MD Family ResourcesIHCBS FFFeb-25</v>
      </c>
      <c r="B23713" s="171" t="s">
        <v>46628</v>
      </c>
      <c r="C23713" s="171" t="s">
        <v>39942</v>
      </c>
      <c r="D23713" s="171" t="s">
        <v>80</v>
      </c>
      <c r="E23713" s="11">
        <v>45689</v>
      </c>
      <c r="F23713">
        <v>0</v>
      </c>
      <c r="G23713">
        <v>4</v>
      </c>
      <c r="I23713">
        <v>0</v>
      </c>
      <c r="J23713">
        <v>0</v>
      </c>
      <c r="L23713">
        <v>16</v>
      </c>
      <c r="N23713">
        <v>0</v>
      </c>
      <c r="P23713">
        <v>0</v>
      </c>
      <c r="Q23713">
        <v>0</v>
      </c>
      <c r="S23713">
        <v>0</v>
      </c>
    </row>
    <row r="23714" spans="1:19" x14ac:dyDescent="0.3">
      <c r="A23714" t="str">
        <f t="shared" si="35"/>
        <v>UmbrellaIHCBS FFFeb-25</v>
      </c>
      <c r="B23714" s="171" t="s">
        <v>46629</v>
      </c>
      <c r="C23714" s="171" t="s">
        <v>45944</v>
      </c>
      <c r="D23714" s="171" t="s">
        <v>80</v>
      </c>
      <c r="E23714" s="11">
        <v>45689</v>
      </c>
      <c r="F23714">
        <v>2</v>
      </c>
      <c r="G23714">
        <v>2</v>
      </c>
      <c r="I23714">
        <v>2</v>
      </c>
      <c r="J23714">
        <v>8</v>
      </c>
      <c r="L23714">
        <v>8</v>
      </c>
      <c r="N23714">
        <v>2</v>
      </c>
      <c r="P23714">
        <v>0</v>
      </c>
      <c r="Q23714">
        <v>0</v>
      </c>
      <c r="S23714">
        <v>0</v>
      </c>
    </row>
    <row r="23715" spans="1:19" x14ac:dyDescent="0.3">
      <c r="A23715" t="str">
        <f t="shared" si="35"/>
        <v>LCSMST FFFeb-25</v>
      </c>
      <c r="B23715" s="171" t="s">
        <v>46630</v>
      </c>
      <c r="C23715" s="171" t="s">
        <v>18137</v>
      </c>
      <c r="D23715" s="171" t="s">
        <v>80</v>
      </c>
      <c r="E23715" s="11">
        <v>45689</v>
      </c>
      <c r="F23715">
        <v>0</v>
      </c>
      <c r="G23715">
        <v>0</v>
      </c>
      <c r="I23715">
        <v>0</v>
      </c>
      <c r="J23715">
        <v>0</v>
      </c>
      <c r="L23715">
        <v>0</v>
      </c>
      <c r="N23715">
        <v>0</v>
      </c>
      <c r="P23715">
        <v>0</v>
      </c>
      <c r="Q23715">
        <v>0</v>
      </c>
      <c r="S23715">
        <v>0</v>
      </c>
    </row>
    <row r="23716" spans="1:19" x14ac:dyDescent="0.3">
      <c r="A23716" t="str">
        <f t="shared" si="35"/>
        <v>MBI HSMST FFFeb-25</v>
      </c>
      <c r="B23716" s="171" t="s">
        <v>46631</v>
      </c>
      <c r="C23716" s="171" t="s">
        <v>18140</v>
      </c>
      <c r="D23716" s="171" t="s">
        <v>80</v>
      </c>
      <c r="E23716" s="11">
        <v>45689</v>
      </c>
      <c r="F23716">
        <v>1</v>
      </c>
      <c r="G23716">
        <v>4</v>
      </c>
      <c r="I23716">
        <v>6</v>
      </c>
      <c r="J23716">
        <v>5</v>
      </c>
      <c r="L23716">
        <v>20</v>
      </c>
      <c r="N23716">
        <v>3</v>
      </c>
      <c r="P23716">
        <v>0</v>
      </c>
      <c r="Q23716">
        <v>0</v>
      </c>
      <c r="S23716">
        <v>3</v>
      </c>
    </row>
    <row r="23717" spans="1:19" x14ac:dyDescent="0.3">
      <c r="A23717" t="str">
        <f t="shared" si="35"/>
        <v>Youth VillagesMST FFFeb-25</v>
      </c>
      <c r="B23717" s="171" t="s">
        <v>46632</v>
      </c>
      <c r="C23717" s="171" t="s">
        <v>236</v>
      </c>
      <c r="D23717" s="171" t="s">
        <v>80</v>
      </c>
      <c r="E23717" s="11">
        <v>45689</v>
      </c>
      <c r="F23717">
        <v>0</v>
      </c>
      <c r="G23717">
        <v>0</v>
      </c>
      <c r="I23717">
        <v>0</v>
      </c>
      <c r="J23717">
        <v>0</v>
      </c>
      <c r="L23717">
        <v>0</v>
      </c>
      <c r="N23717">
        <v>0</v>
      </c>
      <c r="P23717">
        <v>0</v>
      </c>
      <c r="Q23717">
        <v>0</v>
      </c>
      <c r="S23717">
        <v>0</v>
      </c>
    </row>
    <row r="23718" spans="1:19" x14ac:dyDescent="0.3">
      <c r="A23718" t="str">
        <f t="shared" si="35"/>
        <v>Youth VillagesMST-PSB FFFeb-25</v>
      </c>
      <c r="B23718" s="171" t="s">
        <v>46633</v>
      </c>
      <c r="C23718" s="171" t="s">
        <v>239</v>
      </c>
      <c r="D23718" s="171" t="s">
        <v>80</v>
      </c>
      <c r="E23718" s="11">
        <v>45689</v>
      </c>
      <c r="F23718">
        <v>0</v>
      </c>
      <c r="G23718">
        <v>0</v>
      </c>
      <c r="I23718">
        <v>0</v>
      </c>
      <c r="J23718">
        <v>0</v>
      </c>
      <c r="L23718">
        <v>0</v>
      </c>
      <c r="N23718">
        <v>0</v>
      </c>
      <c r="P23718">
        <v>0</v>
      </c>
      <c r="Q23718">
        <v>0</v>
      </c>
      <c r="S23718">
        <v>0</v>
      </c>
    </row>
    <row r="23719" spans="1:19" x14ac:dyDescent="0.3">
      <c r="A23719" t="str">
        <f t="shared" si="35"/>
        <v>Marys CenterPCIT FFFeb-25</v>
      </c>
      <c r="B23719" s="171" t="s">
        <v>46634</v>
      </c>
      <c r="C23719" s="171" t="s">
        <v>176</v>
      </c>
      <c r="D23719" s="171" t="s">
        <v>80</v>
      </c>
      <c r="E23719" s="11">
        <v>45689</v>
      </c>
      <c r="F23719">
        <v>1.5</v>
      </c>
      <c r="G23719">
        <v>2</v>
      </c>
      <c r="I23719">
        <v>1</v>
      </c>
      <c r="J23719">
        <v>8</v>
      </c>
      <c r="L23719">
        <v>11</v>
      </c>
      <c r="N23719">
        <v>1</v>
      </c>
      <c r="P23719">
        <v>0</v>
      </c>
      <c r="Q23719">
        <v>0</v>
      </c>
      <c r="S23719">
        <v>0</v>
      </c>
    </row>
    <row r="23720" spans="1:19" x14ac:dyDescent="0.3">
      <c r="A23720" t="str">
        <f t="shared" si="35"/>
        <v>PIECEPCIT FFFeb-25</v>
      </c>
      <c r="B23720" s="171" t="s">
        <v>46635</v>
      </c>
      <c r="C23720" s="171" t="s">
        <v>206</v>
      </c>
      <c r="D23720" s="171" t="s">
        <v>80</v>
      </c>
      <c r="E23720" s="11">
        <v>45689</v>
      </c>
      <c r="F23720">
        <v>1.5</v>
      </c>
      <c r="G23720">
        <v>1.5</v>
      </c>
      <c r="I23720">
        <v>2</v>
      </c>
      <c r="J23720">
        <v>7</v>
      </c>
      <c r="L23720">
        <v>7</v>
      </c>
      <c r="N23720">
        <v>1</v>
      </c>
      <c r="P23720">
        <v>0</v>
      </c>
      <c r="Q23720">
        <v>0</v>
      </c>
      <c r="S23720">
        <v>1</v>
      </c>
    </row>
    <row r="23721" spans="1:19" x14ac:dyDescent="0.3">
      <c r="A23721" t="str">
        <f t="shared" si="35"/>
        <v>Marys CenterPCIT DCSFeb-25</v>
      </c>
      <c r="B23721" s="171" t="s">
        <v>46636</v>
      </c>
      <c r="C23721" s="171" t="s">
        <v>176</v>
      </c>
      <c r="D23721" s="171" t="s">
        <v>15341</v>
      </c>
      <c r="E23721" s="11">
        <v>45689</v>
      </c>
      <c r="F23721">
        <v>0</v>
      </c>
      <c r="G23721">
        <v>0</v>
      </c>
      <c r="I23721">
        <v>0</v>
      </c>
      <c r="J23721">
        <v>0</v>
      </c>
      <c r="L23721">
        <v>0</v>
      </c>
      <c r="N23721">
        <v>0</v>
      </c>
      <c r="P23721">
        <v>0</v>
      </c>
      <c r="Q23721">
        <v>0</v>
      </c>
      <c r="S23721">
        <v>0</v>
      </c>
    </row>
    <row r="23722" spans="1:19" x14ac:dyDescent="0.3">
      <c r="A23722" t="str">
        <f t="shared" si="35"/>
        <v>PIECEPCIT DCSFeb-25</v>
      </c>
      <c r="B23722" s="171" t="s">
        <v>46637</v>
      </c>
      <c r="C23722" s="171" t="s">
        <v>206</v>
      </c>
      <c r="D23722" s="171" t="s">
        <v>15341</v>
      </c>
      <c r="E23722" s="11">
        <v>45689</v>
      </c>
      <c r="F23722">
        <v>0</v>
      </c>
      <c r="G23722">
        <v>0</v>
      </c>
      <c r="I23722">
        <v>0</v>
      </c>
      <c r="J23722">
        <v>0</v>
      </c>
      <c r="L23722">
        <v>0</v>
      </c>
      <c r="N23722">
        <v>0</v>
      </c>
      <c r="P23722">
        <v>0</v>
      </c>
      <c r="Q23722">
        <v>0</v>
      </c>
      <c r="S23722">
        <v>0</v>
      </c>
    </row>
    <row r="23723" spans="1:19" x14ac:dyDescent="0.3">
      <c r="A23723" t="str">
        <f t="shared" si="35"/>
        <v>Community ConnectionsPCIT DCSFeb-25</v>
      </c>
      <c r="B23723" s="171" t="s">
        <v>46638</v>
      </c>
      <c r="C23723" s="171" t="s">
        <v>16544</v>
      </c>
      <c r="D23723" s="171" t="s">
        <v>15341</v>
      </c>
      <c r="E23723" s="11">
        <v>45689</v>
      </c>
      <c r="F23723">
        <v>0</v>
      </c>
      <c r="G23723">
        <v>0</v>
      </c>
      <c r="I23723">
        <v>0</v>
      </c>
      <c r="J23723">
        <v>0</v>
      </c>
      <c r="L23723">
        <v>0</v>
      </c>
      <c r="N23723">
        <v>0</v>
      </c>
      <c r="P23723">
        <v>0</v>
      </c>
      <c r="Q23723">
        <v>0</v>
      </c>
      <c r="S23723">
        <v>0</v>
      </c>
    </row>
    <row r="23724" spans="1:19" x14ac:dyDescent="0.3">
      <c r="A23724" t="str">
        <f t="shared" si="35"/>
        <v>Community ConnectionsPCIT FFFeb-25</v>
      </c>
      <c r="B23724" s="171" t="s">
        <v>46639</v>
      </c>
      <c r="C23724" s="171" t="s">
        <v>16544</v>
      </c>
      <c r="D23724" s="171" t="s">
        <v>80</v>
      </c>
      <c r="E23724" s="11">
        <v>45689</v>
      </c>
      <c r="F23724">
        <v>0</v>
      </c>
      <c r="G23724">
        <v>0</v>
      </c>
      <c r="I23724">
        <v>0</v>
      </c>
      <c r="J23724">
        <v>0</v>
      </c>
      <c r="L23724">
        <v>0</v>
      </c>
      <c r="N23724">
        <v>0</v>
      </c>
      <c r="P23724">
        <v>0</v>
      </c>
      <c r="Q23724">
        <v>0</v>
      </c>
      <c r="S23724">
        <v>0</v>
      </c>
    </row>
    <row r="23725" spans="1:19" x14ac:dyDescent="0.3">
      <c r="A23725" t="str">
        <f t="shared" si="35"/>
        <v>Medstar GeorgetownPCIT DCSFeb-25</v>
      </c>
      <c r="B23725" s="171" t="s">
        <v>46640</v>
      </c>
      <c r="C23725" s="171" t="s">
        <v>24315</v>
      </c>
      <c r="D23725" s="171" t="s">
        <v>15341</v>
      </c>
      <c r="E23725" s="11">
        <v>45689</v>
      </c>
      <c r="F23725">
        <v>0</v>
      </c>
      <c r="G23725">
        <v>0</v>
      </c>
      <c r="I23725">
        <v>0</v>
      </c>
      <c r="J23725">
        <v>0</v>
      </c>
      <c r="L23725">
        <v>0</v>
      </c>
      <c r="N23725">
        <v>0</v>
      </c>
      <c r="P23725">
        <v>0</v>
      </c>
      <c r="Q23725">
        <v>0</v>
      </c>
      <c r="S23725">
        <v>0</v>
      </c>
    </row>
    <row r="23726" spans="1:19" x14ac:dyDescent="0.3">
      <c r="A23726" t="str">
        <f t="shared" si="35"/>
        <v>Medstar GeorgetownPCIT FFFeb-25</v>
      </c>
      <c r="B23726" s="171" t="s">
        <v>46641</v>
      </c>
      <c r="C23726" s="171" t="s">
        <v>24315</v>
      </c>
      <c r="D23726" s="171" t="s">
        <v>80</v>
      </c>
      <c r="E23726" s="11">
        <v>45689</v>
      </c>
      <c r="F23726">
        <v>0</v>
      </c>
      <c r="G23726">
        <v>0</v>
      </c>
      <c r="I23726">
        <v>0</v>
      </c>
      <c r="J23726">
        <v>0</v>
      </c>
      <c r="L23726">
        <v>0</v>
      </c>
      <c r="N23726">
        <v>0</v>
      </c>
      <c r="P23726">
        <v>0</v>
      </c>
      <c r="Q23726">
        <v>0</v>
      </c>
      <c r="S23726">
        <v>0</v>
      </c>
    </row>
    <row r="23727" spans="1:19" x14ac:dyDescent="0.3">
      <c r="A23727" t="str">
        <f t="shared" si="35"/>
        <v>Marys CenterPCIT-T FFFeb-25</v>
      </c>
      <c r="B23727" s="171" t="s">
        <v>46642</v>
      </c>
      <c r="C23727" s="171" t="s">
        <v>34833</v>
      </c>
      <c r="D23727" s="171" t="s">
        <v>80</v>
      </c>
      <c r="E23727" s="11">
        <v>45689</v>
      </c>
      <c r="F23727">
        <v>1</v>
      </c>
      <c r="G23727">
        <v>2</v>
      </c>
      <c r="I23727">
        <v>0</v>
      </c>
      <c r="J23727">
        <v>6</v>
      </c>
      <c r="L23727">
        <v>11</v>
      </c>
      <c r="N23727">
        <v>0</v>
      </c>
      <c r="P23727">
        <v>0</v>
      </c>
      <c r="Q23727">
        <v>0</v>
      </c>
      <c r="S23727">
        <v>0</v>
      </c>
    </row>
    <row r="23728" spans="1:19" x14ac:dyDescent="0.3">
      <c r="A23728" t="str">
        <f t="shared" si="35"/>
        <v>PIECEPCIT-T FFFeb-25</v>
      </c>
      <c r="B23728" s="171" t="s">
        <v>46643</v>
      </c>
      <c r="C23728" s="171" t="s">
        <v>34836</v>
      </c>
      <c r="D23728" s="171" t="s">
        <v>80</v>
      </c>
      <c r="E23728" s="11">
        <v>45689</v>
      </c>
      <c r="F23728">
        <v>1.5</v>
      </c>
      <c r="G23728">
        <v>1.5</v>
      </c>
      <c r="I23728">
        <v>7</v>
      </c>
      <c r="J23728">
        <v>7</v>
      </c>
      <c r="L23728">
        <v>7</v>
      </c>
      <c r="N23728">
        <v>4</v>
      </c>
      <c r="P23728">
        <v>0</v>
      </c>
      <c r="Q23728">
        <v>0</v>
      </c>
      <c r="S23728">
        <v>3</v>
      </c>
    </row>
    <row r="23729" spans="1:19" x14ac:dyDescent="0.3">
      <c r="A23729" t="str">
        <f t="shared" si="35"/>
        <v>Community ConnectionsTF-CBT FFFeb-25</v>
      </c>
      <c r="B23729" s="171" t="s">
        <v>46644</v>
      </c>
      <c r="C23729" s="171" t="s">
        <v>113</v>
      </c>
      <c r="D23729" s="171" t="s">
        <v>80</v>
      </c>
      <c r="E23729" s="11">
        <v>45689</v>
      </c>
      <c r="F23729">
        <v>0</v>
      </c>
      <c r="G23729">
        <v>0</v>
      </c>
      <c r="I23729">
        <v>0</v>
      </c>
      <c r="J23729">
        <v>0</v>
      </c>
      <c r="L23729">
        <v>0</v>
      </c>
      <c r="N23729">
        <v>0</v>
      </c>
      <c r="P23729">
        <v>0</v>
      </c>
      <c r="Q23729">
        <v>0</v>
      </c>
      <c r="S23729">
        <v>0</v>
      </c>
    </row>
    <row r="23730" spans="1:19" x14ac:dyDescent="0.3">
      <c r="A23730" t="str">
        <f t="shared" si="35"/>
        <v>First Home CareTF-CBT FFFeb-25</v>
      </c>
      <c r="B23730" s="171" t="s">
        <v>46645</v>
      </c>
      <c r="C23730" s="171" t="s">
        <v>131</v>
      </c>
      <c r="D23730" s="171" t="s">
        <v>80</v>
      </c>
      <c r="E23730" s="11">
        <v>45689</v>
      </c>
      <c r="F23730">
        <v>0</v>
      </c>
      <c r="G23730">
        <v>0</v>
      </c>
      <c r="I23730">
        <v>0</v>
      </c>
      <c r="J23730">
        <v>0</v>
      </c>
      <c r="L23730">
        <v>0</v>
      </c>
      <c r="N23730">
        <v>0</v>
      </c>
      <c r="P23730">
        <v>0</v>
      </c>
      <c r="Q23730">
        <v>0</v>
      </c>
      <c r="S23730">
        <v>0</v>
      </c>
    </row>
    <row r="23731" spans="1:19" x14ac:dyDescent="0.3">
      <c r="A23731" t="str">
        <f t="shared" si="35"/>
        <v>Foundations for Home &amp; CommunityTF-CBT FFFeb-25</v>
      </c>
      <c r="B23731" s="171" t="s">
        <v>46646</v>
      </c>
      <c r="C23731" s="171" t="s">
        <v>14843</v>
      </c>
      <c r="D23731" s="171" t="s">
        <v>80</v>
      </c>
      <c r="E23731" s="11">
        <v>45689</v>
      </c>
      <c r="F23731">
        <v>0</v>
      </c>
      <c r="G23731">
        <v>0</v>
      </c>
      <c r="I23731">
        <v>0</v>
      </c>
      <c r="J23731">
        <v>0</v>
      </c>
      <c r="L23731">
        <v>0</v>
      </c>
      <c r="N23731">
        <v>0</v>
      </c>
      <c r="P23731">
        <v>0</v>
      </c>
      <c r="Q23731">
        <v>0</v>
      </c>
      <c r="S23731">
        <v>0</v>
      </c>
    </row>
    <row r="23732" spans="1:19" x14ac:dyDescent="0.3">
      <c r="A23732" t="str">
        <f t="shared" si="35"/>
        <v>HillcrestTF-CBT FFFeb-25</v>
      </c>
      <c r="B23732" s="171" t="s">
        <v>46647</v>
      </c>
      <c r="C23732" s="171" t="s">
        <v>155</v>
      </c>
      <c r="D23732" s="171" t="s">
        <v>80</v>
      </c>
      <c r="E23732" s="11">
        <v>45689</v>
      </c>
      <c r="F23732">
        <v>3</v>
      </c>
      <c r="G23732">
        <v>6</v>
      </c>
      <c r="I23732">
        <v>12</v>
      </c>
      <c r="J23732">
        <v>17</v>
      </c>
      <c r="L23732">
        <v>31</v>
      </c>
      <c r="N23732">
        <v>12</v>
      </c>
      <c r="P23732">
        <v>0</v>
      </c>
      <c r="Q23732">
        <v>0</v>
      </c>
      <c r="S23732">
        <v>0</v>
      </c>
    </row>
    <row r="23733" spans="1:19" x14ac:dyDescent="0.3">
      <c r="A23733" t="str">
        <f t="shared" si="35"/>
        <v>LAYCTF-CBT FFFeb-25</v>
      </c>
      <c r="B23733" s="171" t="s">
        <v>46648</v>
      </c>
      <c r="C23733" s="171" t="s">
        <v>16232</v>
      </c>
      <c r="D23733" s="171" t="s">
        <v>80</v>
      </c>
      <c r="E23733" s="11">
        <v>45689</v>
      </c>
      <c r="F23733">
        <v>2.5</v>
      </c>
      <c r="G23733">
        <v>3.5</v>
      </c>
      <c r="I23733">
        <v>7</v>
      </c>
      <c r="J23733">
        <v>15</v>
      </c>
      <c r="L23733">
        <v>21</v>
      </c>
      <c r="N23733">
        <v>7</v>
      </c>
      <c r="P23733">
        <v>3</v>
      </c>
      <c r="Q23733">
        <v>4</v>
      </c>
      <c r="S23733">
        <v>0</v>
      </c>
    </row>
    <row r="23734" spans="1:19" x14ac:dyDescent="0.3">
      <c r="A23734" t="str">
        <f t="shared" si="35"/>
        <v>LESTF-CBT FFFeb-25</v>
      </c>
      <c r="B23734" s="171" t="s">
        <v>46649</v>
      </c>
      <c r="C23734" s="171" t="s">
        <v>16557</v>
      </c>
      <c r="D23734" s="171" t="s">
        <v>80</v>
      </c>
      <c r="E23734" s="11">
        <v>45689</v>
      </c>
      <c r="F23734">
        <v>0</v>
      </c>
      <c r="G23734">
        <v>0</v>
      </c>
      <c r="I23734">
        <v>0</v>
      </c>
      <c r="J23734">
        <v>0</v>
      </c>
      <c r="L23734">
        <v>0</v>
      </c>
      <c r="N23734">
        <v>0</v>
      </c>
      <c r="P23734">
        <v>0</v>
      </c>
      <c r="Q23734">
        <v>0</v>
      </c>
      <c r="S23734">
        <v>0</v>
      </c>
    </row>
    <row r="23735" spans="1:19" x14ac:dyDescent="0.3">
      <c r="A23735" t="str">
        <f t="shared" si="35"/>
        <v>MD Family ResourcesTF-CBT FFFeb-25</v>
      </c>
      <c r="B23735" s="171" t="s">
        <v>46650</v>
      </c>
      <c r="C23735" s="171" t="s">
        <v>188</v>
      </c>
      <c r="D23735" s="171" t="s">
        <v>80</v>
      </c>
      <c r="E23735" s="11">
        <v>45689</v>
      </c>
      <c r="F23735">
        <v>2</v>
      </c>
      <c r="G23735">
        <v>3.5</v>
      </c>
      <c r="I23735">
        <v>4</v>
      </c>
      <c r="J23735">
        <v>11</v>
      </c>
      <c r="L23735">
        <v>20</v>
      </c>
      <c r="N23735">
        <v>4</v>
      </c>
      <c r="P23735">
        <v>0</v>
      </c>
      <c r="Q23735">
        <v>0</v>
      </c>
      <c r="S23735">
        <v>0</v>
      </c>
    </row>
    <row r="23736" spans="1:19" x14ac:dyDescent="0.3">
      <c r="A23736" t="str">
        <f t="shared" si="35"/>
        <v>UniversalTF-CBT FFFeb-25</v>
      </c>
      <c r="B23736" s="171" t="s">
        <v>46651</v>
      </c>
      <c r="C23736" s="171" t="s">
        <v>227</v>
      </c>
      <c r="D23736" s="171" t="s">
        <v>80</v>
      </c>
      <c r="E23736" s="11">
        <v>45689</v>
      </c>
      <c r="F23736">
        <v>0</v>
      </c>
      <c r="G23736">
        <v>0</v>
      </c>
      <c r="I23736">
        <v>0</v>
      </c>
      <c r="J23736">
        <v>0</v>
      </c>
      <c r="L23736">
        <v>0</v>
      </c>
      <c r="N23736">
        <v>0</v>
      </c>
      <c r="P23736">
        <v>0</v>
      </c>
      <c r="Q23736">
        <v>0</v>
      </c>
      <c r="S23736">
        <v>0</v>
      </c>
    </row>
    <row r="23737" spans="1:19" x14ac:dyDescent="0.3">
      <c r="A23737" t="str">
        <f t="shared" si="35"/>
        <v>Community ConnectionsTIP FFFeb-25</v>
      </c>
      <c r="B23737" s="171" t="s">
        <v>46652</v>
      </c>
      <c r="C23737" s="171" t="s">
        <v>116</v>
      </c>
      <c r="D23737" s="171" t="s">
        <v>80</v>
      </c>
      <c r="E23737" s="11">
        <v>45689</v>
      </c>
      <c r="F23737">
        <v>0</v>
      </c>
      <c r="G23737">
        <v>0</v>
      </c>
      <c r="I23737">
        <v>0</v>
      </c>
      <c r="J23737">
        <v>0</v>
      </c>
      <c r="L23737">
        <v>0</v>
      </c>
      <c r="N23737">
        <v>0</v>
      </c>
      <c r="P23737">
        <v>0</v>
      </c>
      <c r="Q23737">
        <v>0</v>
      </c>
      <c r="S23737">
        <v>0</v>
      </c>
    </row>
    <row r="23738" spans="1:19" x14ac:dyDescent="0.3">
      <c r="A23738" t="str">
        <f t="shared" si="35"/>
        <v>ContemporaryTIP FFFeb-25</v>
      </c>
      <c r="B23738" s="171" t="s">
        <v>46653</v>
      </c>
      <c r="C23738" s="171" t="s">
        <v>9862</v>
      </c>
      <c r="D23738" s="171" t="s">
        <v>80</v>
      </c>
      <c r="E23738" s="11">
        <v>45689</v>
      </c>
      <c r="F23738">
        <v>0</v>
      </c>
      <c r="G23738">
        <v>0</v>
      </c>
      <c r="I23738">
        <v>0</v>
      </c>
      <c r="J23738">
        <v>0</v>
      </c>
      <c r="L23738">
        <v>0</v>
      </c>
      <c r="N23738">
        <v>0</v>
      </c>
      <c r="P23738">
        <v>0</v>
      </c>
      <c r="Q23738">
        <v>0</v>
      </c>
      <c r="S23738">
        <v>0</v>
      </c>
    </row>
    <row r="23739" spans="1:19" x14ac:dyDescent="0.3">
      <c r="A23739" t="str">
        <f t="shared" si="35"/>
        <v>FPSTIP FFFeb-25</v>
      </c>
      <c r="B23739" s="171" t="s">
        <v>46654</v>
      </c>
      <c r="C23739" s="171" t="s">
        <v>140</v>
      </c>
      <c r="D23739" s="171" t="s">
        <v>80</v>
      </c>
      <c r="E23739" s="11">
        <v>45689</v>
      </c>
      <c r="F23739">
        <v>0</v>
      </c>
      <c r="G23739">
        <v>0</v>
      </c>
      <c r="I23739">
        <v>0</v>
      </c>
      <c r="J23739">
        <v>0</v>
      </c>
      <c r="L23739">
        <v>0</v>
      </c>
      <c r="N23739">
        <v>0</v>
      </c>
      <c r="P23739">
        <v>0</v>
      </c>
      <c r="Q23739">
        <v>0</v>
      </c>
      <c r="S23739">
        <v>0</v>
      </c>
    </row>
    <row r="23740" spans="1:19" x14ac:dyDescent="0.3">
      <c r="A23740" t="str">
        <f t="shared" si="35"/>
        <v>Green DoorTIP FFFeb-25</v>
      </c>
      <c r="B23740" s="171" t="s">
        <v>46655</v>
      </c>
      <c r="C23740" s="171" t="s">
        <v>8590</v>
      </c>
      <c r="D23740" s="171" t="s">
        <v>80</v>
      </c>
      <c r="E23740" s="11">
        <v>45689</v>
      </c>
      <c r="F23740">
        <v>0</v>
      </c>
      <c r="G23740">
        <v>0</v>
      </c>
      <c r="I23740">
        <v>0</v>
      </c>
      <c r="J23740">
        <v>0</v>
      </c>
      <c r="L23740">
        <v>0</v>
      </c>
      <c r="N23740">
        <v>0</v>
      </c>
      <c r="P23740">
        <v>0</v>
      </c>
      <c r="Q23740">
        <v>0</v>
      </c>
      <c r="S23740">
        <v>0</v>
      </c>
    </row>
    <row r="23741" spans="1:19" x14ac:dyDescent="0.3">
      <c r="A23741" t="str">
        <f t="shared" si="35"/>
        <v>LESTIP FFFeb-25</v>
      </c>
      <c r="B23741" s="171" t="s">
        <v>46656</v>
      </c>
      <c r="C23741" s="171" t="s">
        <v>170</v>
      </c>
      <c r="D23741" s="171" t="s">
        <v>80</v>
      </c>
      <c r="E23741" s="11">
        <v>45689</v>
      </c>
      <c r="F23741">
        <v>2.5</v>
      </c>
      <c r="G23741">
        <v>2.5</v>
      </c>
      <c r="I23741">
        <v>11</v>
      </c>
      <c r="J23741">
        <v>35</v>
      </c>
      <c r="L23741">
        <v>35</v>
      </c>
      <c r="N23741">
        <v>11</v>
      </c>
      <c r="P23741">
        <v>0</v>
      </c>
      <c r="Q23741">
        <v>0</v>
      </c>
      <c r="S23741">
        <v>0</v>
      </c>
    </row>
    <row r="23742" spans="1:19" x14ac:dyDescent="0.3">
      <c r="A23742" t="str">
        <f t="shared" si="35"/>
        <v>MBI HSTIP FFFeb-25</v>
      </c>
      <c r="B23742" s="171" t="s">
        <v>46657</v>
      </c>
      <c r="C23742" s="171" t="s">
        <v>182</v>
      </c>
      <c r="D23742" s="171" t="s">
        <v>80</v>
      </c>
      <c r="E23742" s="11">
        <v>45689</v>
      </c>
      <c r="F23742">
        <v>7</v>
      </c>
      <c r="G23742">
        <v>9</v>
      </c>
      <c r="I23742">
        <v>39</v>
      </c>
      <c r="J23742">
        <v>80</v>
      </c>
      <c r="L23742">
        <v>102</v>
      </c>
      <c r="N23742">
        <v>39</v>
      </c>
      <c r="P23742">
        <v>0</v>
      </c>
      <c r="Q23742">
        <v>0</v>
      </c>
      <c r="S23742">
        <v>0</v>
      </c>
    </row>
    <row r="23743" spans="1:19" x14ac:dyDescent="0.3">
      <c r="A23743" t="str">
        <f t="shared" si="35"/>
        <v>PASSTIP FFFeb-25</v>
      </c>
      <c r="B23743" s="171" t="s">
        <v>46658</v>
      </c>
      <c r="C23743" s="171" t="s">
        <v>197</v>
      </c>
      <c r="D23743" s="171" t="s">
        <v>80</v>
      </c>
      <c r="E23743" s="11">
        <v>45689</v>
      </c>
      <c r="F23743">
        <v>7</v>
      </c>
      <c r="G23743">
        <v>8</v>
      </c>
      <c r="I23743">
        <v>92</v>
      </c>
      <c r="J23743">
        <v>70</v>
      </c>
      <c r="L23743">
        <v>80</v>
      </c>
      <c r="N23743">
        <v>82</v>
      </c>
      <c r="P23743">
        <v>4</v>
      </c>
      <c r="Q23743">
        <v>7</v>
      </c>
      <c r="S23743">
        <v>10</v>
      </c>
    </row>
    <row r="23744" spans="1:19" x14ac:dyDescent="0.3">
      <c r="A23744" t="str">
        <f t="shared" si="35"/>
        <v>TFCCTIP FFFeb-25</v>
      </c>
      <c r="B23744" s="171" t="s">
        <v>46659</v>
      </c>
      <c r="C23744" s="171" t="s">
        <v>218</v>
      </c>
      <c r="D23744" s="171" t="s">
        <v>80</v>
      </c>
      <c r="E23744" s="11">
        <v>45689</v>
      </c>
      <c r="F23744">
        <v>0</v>
      </c>
      <c r="G23744">
        <v>0</v>
      </c>
      <c r="I23744">
        <v>0</v>
      </c>
      <c r="J23744">
        <v>0</v>
      </c>
      <c r="L23744">
        <v>0</v>
      </c>
      <c r="N23744">
        <v>0</v>
      </c>
      <c r="P23744">
        <v>0</v>
      </c>
      <c r="Q23744">
        <v>0</v>
      </c>
      <c r="S23744">
        <v>0</v>
      </c>
    </row>
    <row r="23745" spans="1:19" x14ac:dyDescent="0.3">
      <c r="A23745" t="str">
        <f t="shared" si="35"/>
        <v>UmbrellaTIP FFFeb-25</v>
      </c>
      <c r="B23745" s="171" t="s">
        <v>46660</v>
      </c>
      <c r="C23745" s="171" t="s">
        <v>34871</v>
      </c>
      <c r="D23745" s="171" t="s">
        <v>80</v>
      </c>
      <c r="E23745" s="11">
        <v>45689</v>
      </c>
      <c r="F23745">
        <v>6</v>
      </c>
      <c r="G23745">
        <v>6</v>
      </c>
      <c r="I23745">
        <v>32</v>
      </c>
      <c r="J23745">
        <v>66</v>
      </c>
      <c r="L23745">
        <v>66</v>
      </c>
      <c r="N23745">
        <v>32</v>
      </c>
      <c r="P23745">
        <v>0</v>
      </c>
      <c r="Q23745">
        <v>1</v>
      </c>
      <c r="S23745">
        <v>0</v>
      </c>
    </row>
    <row r="23746" spans="1:19" x14ac:dyDescent="0.3">
      <c r="A23746" t="str">
        <f t="shared" si="35"/>
        <v>UniversalTIP FFFeb-25</v>
      </c>
      <c r="B23746" s="171" t="s">
        <v>46661</v>
      </c>
      <c r="C23746" s="171" t="s">
        <v>230</v>
      </c>
      <c r="D23746" s="171" t="s">
        <v>80</v>
      </c>
      <c r="E23746" s="11">
        <v>45689</v>
      </c>
      <c r="F23746">
        <v>0</v>
      </c>
      <c r="G23746">
        <v>0</v>
      </c>
      <c r="I23746">
        <v>0</v>
      </c>
      <c r="J23746">
        <v>0</v>
      </c>
      <c r="L23746">
        <v>0</v>
      </c>
      <c r="N23746">
        <v>0</v>
      </c>
      <c r="P23746">
        <v>0</v>
      </c>
      <c r="Q23746">
        <v>0</v>
      </c>
      <c r="S23746">
        <v>0</v>
      </c>
    </row>
    <row r="23747" spans="1:19" x14ac:dyDescent="0.3">
      <c r="A23747" t="str">
        <f t="shared" si="35"/>
        <v>Wayne PlaceTIP FFFeb-25</v>
      </c>
      <c r="B23747" s="171" t="s">
        <v>46662</v>
      </c>
      <c r="C23747" s="171" t="s">
        <v>8193</v>
      </c>
      <c r="D23747" s="171" t="s">
        <v>80</v>
      </c>
      <c r="E23747" s="11">
        <v>45689</v>
      </c>
      <c r="F23747">
        <v>2</v>
      </c>
      <c r="G23747">
        <v>3</v>
      </c>
      <c r="I23747">
        <v>8</v>
      </c>
      <c r="J23747">
        <v>22</v>
      </c>
      <c r="L23747">
        <v>33</v>
      </c>
      <c r="N23747">
        <v>6</v>
      </c>
      <c r="P23747">
        <v>0</v>
      </c>
      <c r="Q23747">
        <v>1</v>
      </c>
      <c r="S23747">
        <v>2</v>
      </c>
    </row>
    <row r="23748" spans="1:19" x14ac:dyDescent="0.3">
      <c r="A23748" t="str">
        <f t="shared" si="35"/>
        <v>Adoptions TogetherTST FFFeb-25</v>
      </c>
      <c r="B23748" s="171" t="s">
        <v>46663</v>
      </c>
      <c r="C23748" s="171" t="s">
        <v>10522</v>
      </c>
      <c r="D23748" s="171" t="s">
        <v>80</v>
      </c>
      <c r="E23748" s="11">
        <v>45689</v>
      </c>
      <c r="F23748">
        <v>0</v>
      </c>
      <c r="G23748">
        <v>0</v>
      </c>
      <c r="I23748">
        <v>0</v>
      </c>
      <c r="J23748">
        <v>0</v>
      </c>
      <c r="L23748">
        <v>0</v>
      </c>
      <c r="N23748">
        <v>0</v>
      </c>
      <c r="P23748">
        <v>0</v>
      </c>
      <c r="Q23748">
        <v>0</v>
      </c>
      <c r="S23748">
        <v>0</v>
      </c>
    </row>
    <row r="23749" spans="1:19" x14ac:dyDescent="0.3">
      <c r="A23749" t="str">
        <f t="shared" ref="A23749:A23812" si="36">C23749&amp;" "&amp;D23749&amp;"Feb-25"</f>
        <v>ContemporaryTST FFFeb-25</v>
      </c>
      <c r="B23749" s="171" t="s">
        <v>46664</v>
      </c>
      <c r="C23749" s="171" t="s">
        <v>10525</v>
      </c>
      <c r="D23749" s="171" t="s">
        <v>80</v>
      </c>
      <c r="E23749" s="11">
        <v>45689</v>
      </c>
      <c r="F23749">
        <v>0</v>
      </c>
      <c r="G23749">
        <v>0</v>
      </c>
      <c r="I23749">
        <v>0</v>
      </c>
      <c r="J23749">
        <v>0</v>
      </c>
      <c r="L23749">
        <v>0</v>
      </c>
      <c r="N23749">
        <v>0</v>
      </c>
      <c r="P23749">
        <v>0</v>
      </c>
      <c r="Q23749">
        <v>0</v>
      </c>
      <c r="S23749">
        <v>0</v>
      </c>
    </row>
    <row r="23750" spans="1:19" x14ac:dyDescent="0.3">
      <c r="A23750" t="str">
        <f t="shared" si="36"/>
        <v>Family MattersTST FFFeb-25</v>
      </c>
      <c r="B23750" s="171" t="s">
        <v>46665</v>
      </c>
      <c r="C23750" s="171" t="s">
        <v>10528</v>
      </c>
      <c r="D23750" s="171" t="s">
        <v>80</v>
      </c>
      <c r="E23750" s="11">
        <v>45689</v>
      </c>
      <c r="F23750">
        <v>0</v>
      </c>
      <c r="G23750">
        <v>0</v>
      </c>
      <c r="I23750">
        <v>0</v>
      </c>
      <c r="J23750">
        <v>0</v>
      </c>
      <c r="L23750">
        <v>0</v>
      </c>
      <c r="N23750">
        <v>0</v>
      </c>
      <c r="P23750">
        <v>0</v>
      </c>
      <c r="Q23750">
        <v>0</v>
      </c>
      <c r="S23750">
        <v>0</v>
      </c>
    </row>
    <row r="23751" spans="1:19" x14ac:dyDescent="0.3">
      <c r="A23751" t="str">
        <f t="shared" si="36"/>
        <v>First Home CareTST FFFeb-25</v>
      </c>
      <c r="B23751" s="171" t="s">
        <v>46666</v>
      </c>
      <c r="C23751" s="171" t="s">
        <v>10531</v>
      </c>
      <c r="D23751" s="171" t="s">
        <v>80</v>
      </c>
      <c r="E23751" s="11">
        <v>45689</v>
      </c>
      <c r="F23751">
        <v>0</v>
      </c>
      <c r="G23751">
        <v>0</v>
      </c>
      <c r="I23751">
        <v>0</v>
      </c>
      <c r="J23751">
        <v>0</v>
      </c>
      <c r="L23751">
        <v>0</v>
      </c>
      <c r="N23751">
        <v>0</v>
      </c>
      <c r="P23751">
        <v>0</v>
      </c>
      <c r="Q23751">
        <v>0</v>
      </c>
      <c r="S23751">
        <v>0</v>
      </c>
    </row>
    <row r="23752" spans="1:19" x14ac:dyDescent="0.3">
      <c r="A23752" t="str">
        <f t="shared" si="36"/>
        <v>Foundations for Home &amp; CommunityTST FFFeb-25</v>
      </c>
      <c r="B23752" s="171" t="s">
        <v>46667</v>
      </c>
      <c r="C23752" s="171" t="s">
        <v>14880</v>
      </c>
      <c r="D23752" s="171" t="s">
        <v>80</v>
      </c>
      <c r="E23752" s="11">
        <v>45689</v>
      </c>
      <c r="F23752">
        <v>0</v>
      </c>
      <c r="G23752">
        <v>0</v>
      </c>
      <c r="I23752">
        <v>0</v>
      </c>
      <c r="J23752">
        <v>0</v>
      </c>
      <c r="L23752">
        <v>0</v>
      </c>
      <c r="N23752">
        <v>0</v>
      </c>
      <c r="P23752">
        <v>0</v>
      </c>
      <c r="Q23752">
        <v>0</v>
      </c>
      <c r="S23752">
        <v>0</v>
      </c>
    </row>
    <row r="23753" spans="1:19" x14ac:dyDescent="0.3">
      <c r="A23753" t="str">
        <f t="shared" si="36"/>
        <v>HillcrestTST FFFeb-25</v>
      </c>
      <c r="B23753" s="171" t="s">
        <v>46668</v>
      </c>
      <c r="C23753" s="171" t="s">
        <v>10534</v>
      </c>
      <c r="D23753" s="171" t="s">
        <v>80</v>
      </c>
      <c r="E23753" s="11">
        <v>45689</v>
      </c>
      <c r="F23753">
        <v>3.5</v>
      </c>
      <c r="G23753">
        <v>1.5</v>
      </c>
      <c r="I23753">
        <v>13</v>
      </c>
      <c r="J23753">
        <v>20</v>
      </c>
      <c r="L23753">
        <v>8</v>
      </c>
      <c r="N23753">
        <v>2</v>
      </c>
      <c r="P23753">
        <v>1</v>
      </c>
      <c r="Q23753">
        <v>1</v>
      </c>
      <c r="S23753">
        <v>11</v>
      </c>
    </row>
    <row r="23754" spans="1:19" x14ac:dyDescent="0.3">
      <c r="A23754" t="str">
        <f t="shared" si="36"/>
        <v>MD Family ResourcesTST FFFeb-25</v>
      </c>
      <c r="B23754" s="171" t="s">
        <v>46669</v>
      </c>
      <c r="C23754" s="171" t="s">
        <v>10537</v>
      </c>
      <c r="D23754" s="171" t="s">
        <v>80</v>
      </c>
      <c r="E23754" s="11">
        <v>45689</v>
      </c>
      <c r="F23754">
        <v>0</v>
      </c>
      <c r="G23754">
        <v>1</v>
      </c>
      <c r="I23754">
        <v>0</v>
      </c>
      <c r="J23754">
        <v>0</v>
      </c>
      <c r="L23754">
        <v>6</v>
      </c>
      <c r="N23754">
        <v>0</v>
      </c>
      <c r="P23754">
        <v>0</v>
      </c>
      <c r="Q23754">
        <v>0</v>
      </c>
      <c r="S23754">
        <v>0</v>
      </c>
    </row>
    <row r="23755" spans="1:19" x14ac:dyDescent="0.3">
      <c r="A23755" t="str">
        <f t="shared" si="36"/>
        <v>DBH Parent SupportABC CombinedFeb-25</v>
      </c>
      <c r="B23755" s="171" t="s">
        <v>46670</v>
      </c>
      <c r="C23755" s="171" t="s">
        <v>34754</v>
      </c>
      <c r="D23755" s="171" t="s">
        <v>4</v>
      </c>
      <c r="E23755" s="11">
        <v>45689</v>
      </c>
      <c r="F23755">
        <v>0</v>
      </c>
      <c r="G23755">
        <v>0</v>
      </c>
      <c r="I23755">
        <v>0</v>
      </c>
      <c r="J23755">
        <v>0</v>
      </c>
      <c r="L23755">
        <v>0</v>
      </c>
      <c r="N23755">
        <v>0</v>
      </c>
      <c r="P23755">
        <v>0</v>
      </c>
      <c r="Q23755">
        <v>0</v>
      </c>
      <c r="S23755">
        <v>0</v>
      </c>
    </row>
    <row r="23756" spans="1:19" x14ac:dyDescent="0.3">
      <c r="A23756" t="str">
        <f t="shared" si="36"/>
        <v>Healthy FuturesABC CombinedFeb-25</v>
      </c>
      <c r="B23756" s="171" t="s">
        <v>46671</v>
      </c>
      <c r="C23756" s="171" t="s">
        <v>34757</v>
      </c>
      <c r="D23756" s="171" t="s">
        <v>4</v>
      </c>
      <c r="E23756" s="11">
        <v>45689</v>
      </c>
      <c r="F23756">
        <v>0</v>
      </c>
      <c r="G23756">
        <v>0</v>
      </c>
      <c r="I23756">
        <v>0</v>
      </c>
      <c r="J23756">
        <v>0</v>
      </c>
      <c r="L23756">
        <v>0</v>
      </c>
      <c r="N23756">
        <v>0</v>
      </c>
      <c r="P23756">
        <v>0</v>
      </c>
      <c r="Q23756">
        <v>0</v>
      </c>
      <c r="S23756">
        <v>0</v>
      </c>
    </row>
    <row r="23757" spans="1:19" x14ac:dyDescent="0.3">
      <c r="A23757" t="str">
        <f t="shared" si="36"/>
        <v>Marys CenterABC CombinedFeb-25</v>
      </c>
      <c r="B23757" s="171" t="s">
        <v>46672</v>
      </c>
      <c r="C23757" s="171" t="s">
        <v>34760</v>
      </c>
      <c r="D23757" s="171" t="s">
        <v>4</v>
      </c>
      <c r="E23757" s="11">
        <v>45689</v>
      </c>
      <c r="F23757">
        <v>0</v>
      </c>
      <c r="G23757">
        <v>0</v>
      </c>
      <c r="I23757">
        <v>0</v>
      </c>
      <c r="J23757">
        <v>0</v>
      </c>
      <c r="L23757">
        <v>0</v>
      </c>
      <c r="N23757">
        <v>0</v>
      </c>
      <c r="P23757">
        <v>0</v>
      </c>
      <c r="Q23757">
        <v>0</v>
      </c>
      <c r="S23757">
        <v>0</v>
      </c>
    </row>
    <row r="23758" spans="1:19" x14ac:dyDescent="0.3">
      <c r="A23758" t="str">
        <f t="shared" si="36"/>
        <v>Medstar GeorgetownABC CombinedFeb-25</v>
      </c>
      <c r="B23758" s="171" t="s">
        <v>46673</v>
      </c>
      <c r="C23758" s="171" t="s">
        <v>34763</v>
      </c>
      <c r="D23758" s="171" t="s">
        <v>4</v>
      </c>
      <c r="E23758" s="11">
        <v>45689</v>
      </c>
      <c r="F23758">
        <v>0</v>
      </c>
      <c r="G23758">
        <v>0</v>
      </c>
      <c r="I23758">
        <v>0</v>
      </c>
      <c r="J23758">
        <v>0</v>
      </c>
      <c r="L23758">
        <v>0</v>
      </c>
      <c r="N23758">
        <v>0</v>
      </c>
      <c r="P23758">
        <v>0</v>
      </c>
      <c r="Q23758">
        <v>0</v>
      </c>
      <c r="S23758">
        <v>0</v>
      </c>
    </row>
    <row r="23759" spans="1:19" x14ac:dyDescent="0.3">
      <c r="A23759" t="str">
        <f t="shared" si="36"/>
        <v>PIECEABC CombinedFeb-25</v>
      </c>
      <c r="B23759" s="171" t="s">
        <v>46674</v>
      </c>
      <c r="C23759" s="171" t="s">
        <v>34766</v>
      </c>
      <c r="D23759" s="171" t="s">
        <v>4</v>
      </c>
      <c r="E23759" s="11">
        <v>45689</v>
      </c>
      <c r="F23759">
        <v>0</v>
      </c>
      <c r="G23759">
        <v>0</v>
      </c>
      <c r="I23759">
        <v>0</v>
      </c>
      <c r="J23759">
        <v>0</v>
      </c>
      <c r="L23759">
        <v>0</v>
      </c>
      <c r="N23759">
        <v>0</v>
      </c>
      <c r="P23759">
        <v>0</v>
      </c>
      <c r="Q23759">
        <v>0</v>
      </c>
      <c r="S23759">
        <v>0</v>
      </c>
    </row>
    <row r="23760" spans="1:19" x14ac:dyDescent="0.3">
      <c r="A23760" t="str">
        <f t="shared" si="36"/>
        <v>Federal CityA-CRA CombinedFeb-25</v>
      </c>
      <c r="B23760" s="171" t="s">
        <v>46675</v>
      </c>
      <c r="C23760" s="171" t="s">
        <v>119</v>
      </c>
      <c r="D23760" s="171" t="s">
        <v>4</v>
      </c>
      <c r="E23760" s="11">
        <v>45689</v>
      </c>
      <c r="F23760">
        <v>0</v>
      </c>
      <c r="G23760">
        <v>0</v>
      </c>
      <c r="I23760">
        <v>0</v>
      </c>
      <c r="J23760">
        <v>0</v>
      </c>
      <c r="L23760">
        <v>0</v>
      </c>
      <c r="N23760">
        <v>0</v>
      </c>
      <c r="P23760">
        <v>0</v>
      </c>
      <c r="Q23760">
        <v>0</v>
      </c>
      <c r="S23760">
        <v>0</v>
      </c>
    </row>
    <row r="23761" spans="1:19" x14ac:dyDescent="0.3">
      <c r="A23761" t="str">
        <f t="shared" si="36"/>
        <v>HillcrestA-CRA CombinedFeb-25</v>
      </c>
      <c r="B23761" s="171" t="s">
        <v>46676</v>
      </c>
      <c r="C23761" s="171" t="s">
        <v>143</v>
      </c>
      <c r="D23761" s="171" t="s">
        <v>4</v>
      </c>
      <c r="E23761" s="11">
        <v>45689</v>
      </c>
      <c r="F23761">
        <v>0</v>
      </c>
      <c r="G23761">
        <v>0</v>
      </c>
      <c r="I23761">
        <v>0</v>
      </c>
      <c r="J23761">
        <v>0</v>
      </c>
      <c r="L23761">
        <v>0</v>
      </c>
      <c r="N23761">
        <v>0</v>
      </c>
      <c r="P23761">
        <v>0</v>
      </c>
      <c r="Q23761">
        <v>0</v>
      </c>
      <c r="S23761">
        <v>0</v>
      </c>
    </row>
    <row r="23762" spans="1:19" x14ac:dyDescent="0.3">
      <c r="A23762" t="str">
        <f t="shared" si="36"/>
        <v>LAYCA-CRA CombinedFeb-25</v>
      </c>
      <c r="B23762" s="171" t="s">
        <v>46677</v>
      </c>
      <c r="C23762" s="171" t="s">
        <v>158</v>
      </c>
      <c r="D23762" s="171" t="s">
        <v>4</v>
      </c>
      <c r="E23762" s="11">
        <v>45689</v>
      </c>
      <c r="F23762">
        <v>0</v>
      </c>
      <c r="G23762">
        <v>0</v>
      </c>
      <c r="I23762">
        <v>0</v>
      </c>
      <c r="J23762">
        <v>0</v>
      </c>
      <c r="L23762">
        <v>0</v>
      </c>
      <c r="N23762">
        <v>0</v>
      </c>
      <c r="P23762">
        <v>0</v>
      </c>
      <c r="Q23762">
        <v>0</v>
      </c>
      <c r="S23762">
        <v>0</v>
      </c>
    </row>
    <row r="23763" spans="1:19" x14ac:dyDescent="0.3">
      <c r="A23763" t="str">
        <f t="shared" si="36"/>
        <v>RiversideA-CRA CombinedFeb-25</v>
      </c>
      <c r="B23763" s="171" t="s">
        <v>46678</v>
      </c>
      <c r="C23763" s="171" t="s">
        <v>209</v>
      </c>
      <c r="D23763" s="171" t="s">
        <v>4</v>
      </c>
      <c r="E23763" s="11">
        <v>45689</v>
      </c>
      <c r="F23763">
        <v>0</v>
      </c>
      <c r="G23763">
        <v>0</v>
      </c>
      <c r="I23763">
        <v>0</v>
      </c>
      <c r="J23763">
        <v>0</v>
      </c>
      <c r="L23763">
        <v>0</v>
      </c>
      <c r="N23763">
        <v>0</v>
      </c>
      <c r="P23763">
        <v>0</v>
      </c>
      <c r="Q23763">
        <v>0</v>
      </c>
      <c r="S23763">
        <v>0</v>
      </c>
    </row>
    <row r="23764" spans="1:19" x14ac:dyDescent="0.3">
      <c r="A23764" t="str">
        <f t="shared" si="36"/>
        <v>Adoptions TogetherCPP-FV CombinedFeb-25</v>
      </c>
      <c r="B23764" s="171" t="s">
        <v>46679</v>
      </c>
      <c r="C23764" s="171" t="s">
        <v>76</v>
      </c>
      <c r="D23764" s="171" t="s">
        <v>4</v>
      </c>
      <c r="E23764" s="11">
        <v>45689</v>
      </c>
      <c r="F23764">
        <v>0</v>
      </c>
      <c r="G23764">
        <v>0</v>
      </c>
      <c r="I23764">
        <v>0</v>
      </c>
      <c r="J23764">
        <v>0</v>
      </c>
      <c r="L23764">
        <v>0</v>
      </c>
      <c r="N23764">
        <v>0</v>
      </c>
      <c r="P23764">
        <v>0</v>
      </c>
      <c r="Q23764">
        <v>0</v>
      </c>
      <c r="S23764">
        <v>0</v>
      </c>
    </row>
    <row r="23765" spans="1:19" x14ac:dyDescent="0.3">
      <c r="A23765" t="str">
        <f t="shared" si="36"/>
        <v>Foundations for Home &amp; CommunityCPP-FV CombinedFeb-25</v>
      </c>
      <c r="B23765" s="171" t="s">
        <v>46680</v>
      </c>
      <c r="C23765" s="171" t="s">
        <v>15344</v>
      </c>
      <c r="D23765" s="171" t="s">
        <v>4</v>
      </c>
      <c r="E23765" s="11">
        <v>45689</v>
      </c>
      <c r="F23765">
        <v>0</v>
      </c>
      <c r="G23765">
        <v>0</v>
      </c>
      <c r="I23765">
        <v>0</v>
      </c>
      <c r="J23765">
        <v>0</v>
      </c>
      <c r="L23765">
        <v>0</v>
      </c>
      <c r="N23765">
        <v>0</v>
      </c>
      <c r="P23765">
        <v>0</v>
      </c>
      <c r="Q23765">
        <v>0</v>
      </c>
      <c r="S23765">
        <v>0</v>
      </c>
    </row>
    <row r="23766" spans="1:19" x14ac:dyDescent="0.3">
      <c r="A23766" t="str">
        <f t="shared" si="36"/>
        <v>Medstar GeorgetownCPP-FV CombinedFeb-25</v>
      </c>
      <c r="B23766" s="171" t="s">
        <v>46681</v>
      </c>
      <c r="C23766" s="171" t="s">
        <v>24281</v>
      </c>
      <c r="D23766" s="171" t="s">
        <v>4</v>
      </c>
      <c r="E23766" s="11">
        <v>45689</v>
      </c>
      <c r="F23766">
        <v>0</v>
      </c>
      <c r="G23766">
        <v>0</v>
      </c>
      <c r="I23766">
        <v>0</v>
      </c>
      <c r="J23766">
        <v>0</v>
      </c>
      <c r="L23766">
        <v>0</v>
      </c>
      <c r="N23766">
        <v>0</v>
      </c>
      <c r="P23766">
        <v>0</v>
      </c>
      <c r="Q23766">
        <v>0</v>
      </c>
      <c r="S23766">
        <v>0</v>
      </c>
    </row>
    <row r="23767" spans="1:19" x14ac:dyDescent="0.3">
      <c r="A23767" t="str">
        <f t="shared" si="36"/>
        <v>Better MorningsFFT CombinedFeb-25</v>
      </c>
      <c r="B23767" s="171" t="s">
        <v>46682</v>
      </c>
      <c r="C23767" s="171" t="s">
        <v>24284</v>
      </c>
      <c r="D23767" s="171" t="s">
        <v>4</v>
      </c>
      <c r="E23767" s="11">
        <v>45689</v>
      </c>
      <c r="F23767">
        <v>3</v>
      </c>
      <c r="G23767">
        <v>3</v>
      </c>
      <c r="I23767">
        <v>9</v>
      </c>
      <c r="J23767">
        <v>17</v>
      </c>
      <c r="L23767">
        <v>17</v>
      </c>
      <c r="N23767">
        <v>5</v>
      </c>
      <c r="P23767">
        <v>1</v>
      </c>
      <c r="Q23767">
        <v>3</v>
      </c>
      <c r="S23767">
        <v>4</v>
      </c>
    </row>
    <row r="23768" spans="1:19" x14ac:dyDescent="0.3">
      <c r="A23768" t="str">
        <f t="shared" si="36"/>
        <v>CatholicFFT CombinedFeb-25</v>
      </c>
      <c r="B23768" s="171" t="s">
        <v>46683</v>
      </c>
      <c r="C23768" s="171" t="s">
        <v>18126</v>
      </c>
      <c r="D23768" s="171" t="s">
        <v>4</v>
      </c>
      <c r="E23768" s="11">
        <v>45689</v>
      </c>
      <c r="F23768">
        <v>0</v>
      </c>
      <c r="G23768">
        <v>0</v>
      </c>
      <c r="I23768">
        <v>0</v>
      </c>
      <c r="J23768">
        <v>0</v>
      </c>
      <c r="L23768">
        <v>0</v>
      </c>
      <c r="N23768">
        <v>0</v>
      </c>
      <c r="P23768">
        <v>0</v>
      </c>
      <c r="Q23768">
        <v>0</v>
      </c>
      <c r="S23768">
        <v>0</v>
      </c>
    </row>
    <row r="23769" spans="1:19" x14ac:dyDescent="0.3">
      <c r="A23769" t="str">
        <f t="shared" si="36"/>
        <v>First Home CareFFT CombinedFeb-25</v>
      </c>
      <c r="B23769" s="171" t="s">
        <v>46684</v>
      </c>
      <c r="C23769" s="171" t="s">
        <v>128</v>
      </c>
      <c r="D23769" s="171" t="s">
        <v>4</v>
      </c>
      <c r="E23769" s="11">
        <v>45689</v>
      </c>
      <c r="F23769">
        <v>0</v>
      </c>
      <c r="G23769">
        <v>0</v>
      </c>
      <c r="I23769">
        <v>0</v>
      </c>
      <c r="J23769">
        <v>0</v>
      </c>
      <c r="L23769">
        <v>0</v>
      </c>
      <c r="N23769">
        <v>0</v>
      </c>
      <c r="P23769">
        <v>0</v>
      </c>
      <c r="Q23769">
        <v>0</v>
      </c>
      <c r="S23769">
        <v>0</v>
      </c>
    </row>
    <row r="23770" spans="1:19" x14ac:dyDescent="0.3">
      <c r="A23770" t="str">
        <f t="shared" si="36"/>
        <v>Foundations for Home &amp; CommunityFFT CombinedFeb-25</v>
      </c>
      <c r="B23770" s="171" t="s">
        <v>46685</v>
      </c>
      <c r="C23770" s="171" t="s">
        <v>14824</v>
      </c>
      <c r="D23770" s="171" t="s">
        <v>4</v>
      </c>
      <c r="E23770" s="11">
        <v>45689</v>
      </c>
      <c r="F23770">
        <v>0</v>
      </c>
      <c r="G23770">
        <v>0</v>
      </c>
      <c r="I23770">
        <v>0</v>
      </c>
      <c r="J23770">
        <v>0</v>
      </c>
      <c r="L23770">
        <v>0</v>
      </c>
      <c r="N23770">
        <v>0</v>
      </c>
      <c r="P23770">
        <v>0</v>
      </c>
      <c r="Q23770">
        <v>0</v>
      </c>
      <c r="S23770">
        <v>0</v>
      </c>
    </row>
    <row r="23771" spans="1:19" x14ac:dyDescent="0.3">
      <c r="A23771" t="str">
        <f t="shared" si="36"/>
        <v>HillcrestFFT CombinedFeb-25</v>
      </c>
      <c r="B23771" s="171" t="s">
        <v>46686</v>
      </c>
      <c r="C23771" s="171" t="s">
        <v>152</v>
      </c>
      <c r="D23771" s="171" t="s">
        <v>4</v>
      </c>
      <c r="E23771" s="11">
        <v>45689</v>
      </c>
      <c r="F23771">
        <v>0</v>
      </c>
      <c r="G23771">
        <v>0</v>
      </c>
      <c r="I23771">
        <v>0</v>
      </c>
      <c r="J23771">
        <v>0</v>
      </c>
      <c r="L23771">
        <v>0</v>
      </c>
      <c r="N23771">
        <v>0</v>
      </c>
      <c r="P23771">
        <v>0</v>
      </c>
      <c r="Q23771">
        <v>0</v>
      </c>
      <c r="S23771">
        <v>0</v>
      </c>
    </row>
    <row r="23772" spans="1:19" x14ac:dyDescent="0.3">
      <c r="A23772" t="str">
        <f t="shared" si="36"/>
        <v>PASSFFT CombinedFeb-25</v>
      </c>
      <c r="B23772" s="171" t="s">
        <v>46687</v>
      </c>
      <c r="C23772" s="171" t="s">
        <v>194</v>
      </c>
      <c r="D23772" s="171" t="s">
        <v>4</v>
      </c>
      <c r="E23772" s="11">
        <v>45689</v>
      </c>
      <c r="F23772">
        <v>2</v>
      </c>
      <c r="G23772">
        <v>5</v>
      </c>
      <c r="I23772">
        <v>12</v>
      </c>
      <c r="J23772">
        <v>12</v>
      </c>
      <c r="L23772">
        <v>27</v>
      </c>
      <c r="N23772">
        <v>11</v>
      </c>
      <c r="P23772">
        <v>1</v>
      </c>
      <c r="Q23772">
        <v>3</v>
      </c>
      <c r="S23772">
        <v>1</v>
      </c>
    </row>
    <row r="23773" spans="1:19" x14ac:dyDescent="0.3">
      <c r="A23773" t="str">
        <f t="shared" si="36"/>
        <v>Better MorningsIHCBS CombinedFeb-25</v>
      </c>
      <c r="B23773" s="171" t="s">
        <v>46688</v>
      </c>
      <c r="C23773" s="171" t="s">
        <v>39930</v>
      </c>
      <c r="D23773" s="171" t="s">
        <v>4</v>
      </c>
      <c r="E23773" s="11">
        <v>45689</v>
      </c>
      <c r="F23773">
        <v>4</v>
      </c>
      <c r="G23773">
        <v>4</v>
      </c>
      <c r="I23773">
        <v>21</v>
      </c>
      <c r="J23773">
        <v>16</v>
      </c>
      <c r="L23773">
        <v>16</v>
      </c>
      <c r="N23773">
        <v>15</v>
      </c>
      <c r="P23773">
        <v>3</v>
      </c>
      <c r="Q23773">
        <v>3</v>
      </c>
      <c r="S23773">
        <v>6</v>
      </c>
    </row>
    <row r="23774" spans="1:19" x14ac:dyDescent="0.3">
      <c r="A23774" t="str">
        <f t="shared" si="36"/>
        <v>HillcrestIHCBS CombinedFeb-25</v>
      </c>
      <c r="B23774" s="171" t="s">
        <v>46689</v>
      </c>
      <c r="C23774" s="171" t="s">
        <v>39933</v>
      </c>
      <c r="D23774" s="171" t="s">
        <v>4</v>
      </c>
      <c r="E23774" s="11">
        <v>45689</v>
      </c>
      <c r="F23774">
        <v>3</v>
      </c>
      <c r="G23774">
        <v>4</v>
      </c>
      <c r="I23774">
        <v>18</v>
      </c>
      <c r="J23774">
        <v>12</v>
      </c>
      <c r="L23774">
        <v>16</v>
      </c>
      <c r="N23774">
        <v>15</v>
      </c>
      <c r="P23774">
        <v>0</v>
      </c>
      <c r="Q23774">
        <v>0</v>
      </c>
      <c r="S23774">
        <v>3</v>
      </c>
    </row>
    <row r="23775" spans="1:19" x14ac:dyDescent="0.3">
      <c r="A23775" t="str">
        <f t="shared" si="36"/>
        <v>LESIHCBS CombinedFeb-25</v>
      </c>
      <c r="B23775" s="171" t="s">
        <v>46690</v>
      </c>
      <c r="C23775" s="171" t="s">
        <v>39936</v>
      </c>
      <c r="D23775" s="171" t="s">
        <v>4</v>
      </c>
      <c r="E23775" s="11">
        <v>45689</v>
      </c>
      <c r="F23775">
        <v>0</v>
      </c>
      <c r="G23775">
        <v>0</v>
      </c>
      <c r="I23775">
        <v>0</v>
      </c>
      <c r="J23775">
        <v>0</v>
      </c>
      <c r="L23775">
        <v>0</v>
      </c>
      <c r="N23775">
        <v>0</v>
      </c>
      <c r="P23775">
        <v>0</v>
      </c>
      <c r="Q23775">
        <v>0</v>
      </c>
      <c r="S23775">
        <v>0</v>
      </c>
    </row>
    <row r="23776" spans="1:19" x14ac:dyDescent="0.3">
      <c r="A23776" t="str">
        <f t="shared" si="36"/>
        <v>MBI HSIHCBS CombinedFeb-25</v>
      </c>
      <c r="B23776" s="171" t="s">
        <v>46691</v>
      </c>
      <c r="C23776" s="171" t="s">
        <v>39939</v>
      </c>
      <c r="D23776" s="171" t="s">
        <v>4</v>
      </c>
      <c r="E23776" s="11">
        <v>45689</v>
      </c>
      <c r="F23776">
        <v>2</v>
      </c>
      <c r="G23776">
        <v>2</v>
      </c>
      <c r="I23776">
        <v>7</v>
      </c>
      <c r="J23776">
        <v>8</v>
      </c>
      <c r="L23776">
        <v>8</v>
      </c>
      <c r="N23776">
        <v>5</v>
      </c>
      <c r="P23776">
        <v>0</v>
      </c>
      <c r="Q23776">
        <v>0</v>
      </c>
      <c r="S23776">
        <v>2</v>
      </c>
    </row>
    <row r="23777" spans="1:19" x14ac:dyDescent="0.3">
      <c r="A23777" t="str">
        <f t="shared" si="36"/>
        <v>MD Family ResourcesIHCBS CombinedFeb-25</v>
      </c>
      <c r="B23777" s="171" t="s">
        <v>46692</v>
      </c>
      <c r="C23777" s="171" t="s">
        <v>39942</v>
      </c>
      <c r="D23777" s="171" t="s">
        <v>4</v>
      </c>
      <c r="E23777" s="11">
        <v>45689</v>
      </c>
      <c r="F23777">
        <v>0</v>
      </c>
      <c r="G23777">
        <v>4</v>
      </c>
      <c r="I23777">
        <v>0</v>
      </c>
      <c r="J23777">
        <v>0</v>
      </c>
      <c r="L23777">
        <v>16</v>
      </c>
      <c r="N23777">
        <v>0</v>
      </c>
      <c r="P23777">
        <v>0</v>
      </c>
      <c r="Q23777">
        <v>0</v>
      </c>
      <c r="S23777">
        <v>0</v>
      </c>
    </row>
    <row r="23778" spans="1:19" x14ac:dyDescent="0.3">
      <c r="A23778" t="str">
        <f t="shared" si="36"/>
        <v>UmbrellaIHCBS CombinedFeb-25</v>
      </c>
      <c r="B23778" s="171" t="s">
        <v>46693</v>
      </c>
      <c r="C23778" s="171" t="s">
        <v>45944</v>
      </c>
      <c r="D23778" s="171" t="s">
        <v>4</v>
      </c>
      <c r="E23778" s="11">
        <v>45689</v>
      </c>
      <c r="F23778">
        <v>2</v>
      </c>
      <c r="G23778">
        <v>2</v>
      </c>
      <c r="I23778">
        <v>2</v>
      </c>
      <c r="J23778">
        <v>8</v>
      </c>
      <c r="L23778">
        <v>8</v>
      </c>
      <c r="N23778">
        <v>2</v>
      </c>
      <c r="P23778">
        <v>0</v>
      </c>
      <c r="Q23778">
        <v>0</v>
      </c>
      <c r="S23778">
        <v>0</v>
      </c>
    </row>
    <row r="23779" spans="1:19" x14ac:dyDescent="0.3">
      <c r="A23779" t="str">
        <f t="shared" si="36"/>
        <v>LCSMST CombinedFeb-25</v>
      </c>
      <c r="B23779" s="171" t="s">
        <v>46694</v>
      </c>
      <c r="C23779" s="171" t="s">
        <v>18137</v>
      </c>
      <c r="D23779" s="171" t="s">
        <v>4</v>
      </c>
      <c r="E23779" s="11">
        <v>45689</v>
      </c>
      <c r="F23779">
        <v>0</v>
      </c>
      <c r="G23779">
        <v>0</v>
      </c>
      <c r="I23779">
        <v>0</v>
      </c>
      <c r="J23779">
        <v>0</v>
      </c>
      <c r="L23779">
        <v>0</v>
      </c>
      <c r="N23779">
        <v>0</v>
      </c>
      <c r="P23779">
        <v>0</v>
      </c>
      <c r="Q23779">
        <v>0</v>
      </c>
      <c r="S23779">
        <v>0</v>
      </c>
    </row>
    <row r="23780" spans="1:19" x14ac:dyDescent="0.3">
      <c r="A23780" t="str">
        <f t="shared" si="36"/>
        <v>MBI HSMST CombinedFeb-25</v>
      </c>
      <c r="B23780" s="171" t="s">
        <v>46695</v>
      </c>
      <c r="C23780" s="171" t="s">
        <v>18140</v>
      </c>
      <c r="D23780" s="171" t="s">
        <v>4</v>
      </c>
      <c r="E23780" s="11">
        <v>45689</v>
      </c>
      <c r="F23780">
        <v>1</v>
      </c>
      <c r="G23780">
        <v>4</v>
      </c>
      <c r="I23780">
        <v>6</v>
      </c>
      <c r="J23780">
        <v>5</v>
      </c>
      <c r="L23780">
        <v>20</v>
      </c>
      <c r="N23780">
        <v>3</v>
      </c>
      <c r="P23780">
        <v>0</v>
      </c>
      <c r="Q23780">
        <v>0</v>
      </c>
      <c r="S23780">
        <v>3</v>
      </c>
    </row>
    <row r="23781" spans="1:19" x14ac:dyDescent="0.3">
      <c r="A23781" t="str">
        <f t="shared" si="36"/>
        <v>Youth VillagesMST CombinedFeb-25</v>
      </c>
      <c r="B23781" s="171" t="s">
        <v>46696</v>
      </c>
      <c r="C23781" s="171" t="s">
        <v>236</v>
      </c>
      <c r="D23781" s="171" t="s">
        <v>4</v>
      </c>
      <c r="E23781" s="11">
        <v>45689</v>
      </c>
      <c r="F23781">
        <v>0</v>
      </c>
      <c r="G23781">
        <v>0</v>
      </c>
      <c r="I23781">
        <v>0</v>
      </c>
      <c r="J23781">
        <v>0</v>
      </c>
      <c r="L23781">
        <v>0</v>
      </c>
      <c r="N23781">
        <v>0</v>
      </c>
      <c r="P23781">
        <v>0</v>
      </c>
      <c r="Q23781">
        <v>0</v>
      </c>
      <c r="S23781">
        <v>0</v>
      </c>
    </row>
    <row r="23782" spans="1:19" x14ac:dyDescent="0.3">
      <c r="A23782" t="str">
        <f t="shared" si="36"/>
        <v>Youth VillagesMST-PSB CombinedFeb-25</v>
      </c>
      <c r="B23782" s="171" t="s">
        <v>46697</v>
      </c>
      <c r="C23782" s="171" t="s">
        <v>239</v>
      </c>
      <c r="D23782" s="171" t="s">
        <v>4</v>
      </c>
      <c r="E23782" s="11">
        <v>45689</v>
      </c>
      <c r="F23782">
        <v>0</v>
      </c>
      <c r="G23782">
        <v>0</v>
      </c>
      <c r="I23782">
        <v>0</v>
      </c>
      <c r="J23782">
        <v>0</v>
      </c>
      <c r="L23782">
        <v>0</v>
      </c>
      <c r="N23782">
        <v>0</v>
      </c>
      <c r="P23782">
        <v>0</v>
      </c>
      <c r="Q23782">
        <v>0</v>
      </c>
      <c r="S23782">
        <v>0</v>
      </c>
    </row>
    <row r="23783" spans="1:19" x14ac:dyDescent="0.3">
      <c r="A23783" t="str">
        <f t="shared" si="36"/>
        <v>Medstar GeorgetownPCIT CombinedFeb-25</v>
      </c>
      <c r="B23783" s="171" t="s">
        <v>46698</v>
      </c>
      <c r="C23783" s="171" t="s">
        <v>24315</v>
      </c>
      <c r="D23783" s="171" t="s">
        <v>4</v>
      </c>
      <c r="E23783" s="11">
        <v>45689</v>
      </c>
      <c r="F23783">
        <v>0</v>
      </c>
      <c r="G23783">
        <v>0</v>
      </c>
      <c r="I23783">
        <v>0</v>
      </c>
      <c r="J23783">
        <v>0</v>
      </c>
      <c r="L23783">
        <v>0</v>
      </c>
      <c r="N23783">
        <v>0</v>
      </c>
      <c r="P23783">
        <v>0</v>
      </c>
      <c r="Q23783">
        <v>0</v>
      </c>
      <c r="S23783">
        <v>0</v>
      </c>
    </row>
    <row r="23784" spans="1:19" x14ac:dyDescent="0.3">
      <c r="A23784" t="str">
        <f t="shared" si="36"/>
        <v>Marys CenterPCIT-T CombinedFeb-25</v>
      </c>
      <c r="B23784" s="171" t="s">
        <v>46699</v>
      </c>
      <c r="C23784" s="171" t="s">
        <v>34833</v>
      </c>
      <c r="D23784" s="171" t="s">
        <v>4</v>
      </c>
      <c r="E23784" s="11">
        <v>45689</v>
      </c>
      <c r="F23784">
        <v>1</v>
      </c>
      <c r="G23784">
        <v>2</v>
      </c>
      <c r="I23784">
        <v>0</v>
      </c>
      <c r="J23784">
        <v>6</v>
      </c>
      <c r="L23784">
        <v>11</v>
      </c>
      <c r="N23784">
        <v>0</v>
      </c>
      <c r="P23784">
        <v>0</v>
      </c>
      <c r="Q23784">
        <v>0</v>
      </c>
      <c r="S23784">
        <v>0</v>
      </c>
    </row>
    <row r="23785" spans="1:19" x14ac:dyDescent="0.3">
      <c r="A23785" t="str">
        <f t="shared" si="36"/>
        <v>PIECEPCIT-T CombinedFeb-25</v>
      </c>
      <c r="B23785" s="171" t="s">
        <v>46700</v>
      </c>
      <c r="C23785" s="171" t="s">
        <v>34836</v>
      </c>
      <c r="D23785" s="171" t="s">
        <v>4</v>
      </c>
      <c r="E23785" s="11">
        <v>45689</v>
      </c>
      <c r="F23785">
        <v>1.5</v>
      </c>
      <c r="G23785">
        <v>1.5</v>
      </c>
      <c r="I23785">
        <v>7</v>
      </c>
      <c r="J23785">
        <v>7</v>
      </c>
      <c r="L23785">
        <v>7</v>
      </c>
      <c r="N23785">
        <v>4</v>
      </c>
      <c r="P23785">
        <v>0</v>
      </c>
      <c r="Q23785">
        <v>0</v>
      </c>
      <c r="S23785">
        <v>3</v>
      </c>
    </row>
    <row r="23786" spans="1:19" x14ac:dyDescent="0.3">
      <c r="A23786" t="str">
        <f t="shared" si="36"/>
        <v>Community ConnectionsTF-CBT CombinedFeb-25</v>
      </c>
      <c r="B23786" s="171" t="s">
        <v>46701</v>
      </c>
      <c r="C23786" s="171" t="s">
        <v>113</v>
      </c>
      <c r="D23786" s="171" t="s">
        <v>4</v>
      </c>
      <c r="E23786" s="11">
        <v>45689</v>
      </c>
      <c r="F23786">
        <v>0</v>
      </c>
      <c r="G23786">
        <v>0</v>
      </c>
      <c r="I23786">
        <v>0</v>
      </c>
      <c r="J23786">
        <v>0</v>
      </c>
      <c r="L23786">
        <v>0</v>
      </c>
      <c r="N23786">
        <v>0</v>
      </c>
      <c r="P23786">
        <v>0</v>
      </c>
      <c r="Q23786">
        <v>0</v>
      </c>
      <c r="S23786">
        <v>0</v>
      </c>
    </row>
    <row r="23787" spans="1:19" x14ac:dyDescent="0.3">
      <c r="A23787" t="str">
        <f t="shared" si="36"/>
        <v>First Home CareTF-CBT CombinedFeb-25</v>
      </c>
      <c r="B23787" s="171" t="s">
        <v>46702</v>
      </c>
      <c r="C23787" s="171" t="s">
        <v>131</v>
      </c>
      <c r="D23787" s="171" t="s">
        <v>4</v>
      </c>
      <c r="E23787" s="11">
        <v>45689</v>
      </c>
      <c r="F23787">
        <v>0</v>
      </c>
      <c r="G23787">
        <v>0</v>
      </c>
      <c r="I23787">
        <v>0</v>
      </c>
      <c r="J23787">
        <v>0</v>
      </c>
      <c r="L23787">
        <v>0</v>
      </c>
      <c r="N23787">
        <v>0</v>
      </c>
      <c r="P23787">
        <v>0</v>
      </c>
      <c r="Q23787">
        <v>0</v>
      </c>
      <c r="S23787">
        <v>0</v>
      </c>
    </row>
    <row r="23788" spans="1:19" x14ac:dyDescent="0.3">
      <c r="A23788" t="str">
        <f t="shared" si="36"/>
        <v>Foundations for Home &amp; CommunityTF-CBT CombinedFeb-25</v>
      </c>
      <c r="B23788" s="171" t="s">
        <v>46703</v>
      </c>
      <c r="C23788" s="171" t="s">
        <v>14843</v>
      </c>
      <c r="D23788" s="171" t="s">
        <v>4</v>
      </c>
      <c r="E23788" s="11">
        <v>45689</v>
      </c>
      <c r="F23788">
        <v>0</v>
      </c>
      <c r="G23788">
        <v>0</v>
      </c>
      <c r="I23788">
        <v>0</v>
      </c>
      <c r="J23788">
        <v>0</v>
      </c>
      <c r="L23788">
        <v>0</v>
      </c>
      <c r="N23788">
        <v>0</v>
      </c>
      <c r="P23788">
        <v>0</v>
      </c>
      <c r="Q23788">
        <v>0</v>
      </c>
      <c r="S23788">
        <v>0</v>
      </c>
    </row>
    <row r="23789" spans="1:19" x14ac:dyDescent="0.3">
      <c r="A23789" t="str">
        <f t="shared" si="36"/>
        <v>HillcrestTF-CBT CombinedFeb-25</v>
      </c>
      <c r="B23789" s="171" t="s">
        <v>46704</v>
      </c>
      <c r="C23789" s="171" t="s">
        <v>155</v>
      </c>
      <c r="D23789" s="171" t="s">
        <v>4</v>
      </c>
      <c r="E23789" s="11">
        <v>45689</v>
      </c>
      <c r="F23789">
        <v>3</v>
      </c>
      <c r="G23789">
        <v>6</v>
      </c>
      <c r="I23789">
        <v>12</v>
      </c>
      <c r="J23789">
        <v>17</v>
      </c>
      <c r="L23789">
        <v>31</v>
      </c>
      <c r="N23789">
        <v>12</v>
      </c>
      <c r="P23789">
        <v>0</v>
      </c>
      <c r="Q23789">
        <v>0</v>
      </c>
      <c r="S23789">
        <v>0</v>
      </c>
    </row>
    <row r="23790" spans="1:19" x14ac:dyDescent="0.3">
      <c r="A23790" t="str">
        <f t="shared" si="36"/>
        <v>LAYCTF-CBT CombinedFeb-25</v>
      </c>
      <c r="B23790" s="171" t="s">
        <v>46705</v>
      </c>
      <c r="C23790" s="171" t="s">
        <v>16232</v>
      </c>
      <c r="D23790" s="171" t="s">
        <v>4</v>
      </c>
      <c r="E23790" s="11">
        <v>45689</v>
      </c>
      <c r="F23790">
        <v>2.5</v>
      </c>
      <c r="G23790">
        <v>3.5</v>
      </c>
      <c r="I23790">
        <v>7</v>
      </c>
      <c r="J23790">
        <v>15</v>
      </c>
      <c r="L23790">
        <v>21</v>
      </c>
      <c r="N23790">
        <v>7</v>
      </c>
      <c r="P23790">
        <v>3</v>
      </c>
      <c r="Q23790">
        <v>4</v>
      </c>
      <c r="S23790">
        <v>0</v>
      </c>
    </row>
    <row r="23791" spans="1:19" x14ac:dyDescent="0.3">
      <c r="A23791" t="str">
        <f t="shared" si="36"/>
        <v>LESTF-CBT CombinedFeb-25</v>
      </c>
      <c r="B23791" s="171" t="s">
        <v>46706</v>
      </c>
      <c r="C23791" s="171" t="s">
        <v>16557</v>
      </c>
      <c r="D23791" s="171" t="s">
        <v>4</v>
      </c>
      <c r="E23791" s="11">
        <v>45689</v>
      </c>
      <c r="F23791">
        <v>0</v>
      </c>
      <c r="G23791">
        <v>0</v>
      </c>
      <c r="I23791">
        <v>0</v>
      </c>
      <c r="J23791">
        <v>0</v>
      </c>
      <c r="L23791">
        <v>0</v>
      </c>
      <c r="N23791">
        <v>0</v>
      </c>
      <c r="P23791">
        <v>0</v>
      </c>
      <c r="Q23791">
        <v>0</v>
      </c>
      <c r="S23791">
        <v>0</v>
      </c>
    </row>
    <row r="23792" spans="1:19" x14ac:dyDescent="0.3">
      <c r="A23792" t="str">
        <f t="shared" si="36"/>
        <v>MD Family ResourcesTF-CBT CombinedFeb-25</v>
      </c>
      <c r="B23792" s="171" t="s">
        <v>46707</v>
      </c>
      <c r="C23792" s="171" t="s">
        <v>188</v>
      </c>
      <c r="D23792" s="171" t="s">
        <v>4</v>
      </c>
      <c r="E23792" s="11">
        <v>45689</v>
      </c>
      <c r="F23792">
        <v>2</v>
      </c>
      <c r="G23792">
        <v>3.5</v>
      </c>
      <c r="I23792">
        <v>4</v>
      </c>
      <c r="J23792">
        <v>11</v>
      </c>
      <c r="L23792">
        <v>20</v>
      </c>
      <c r="N23792">
        <v>4</v>
      </c>
      <c r="P23792">
        <v>0</v>
      </c>
      <c r="Q23792">
        <v>0</v>
      </c>
      <c r="S23792">
        <v>0</v>
      </c>
    </row>
    <row r="23793" spans="1:19" x14ac:dyDescent="0.3">
      <c r="A23793" t="str">
        <f t="shared" si="36"/>
        <v>UniversalTF-CBT CombinedFeb-25</v>
      </c>
      <c r="B23793" s="171" t="s">
        <v>46708</v>
      </c>
      <c r="C23793" s="171" t="s">
        <v>227</v>
      </c>
      <c r="D23793" s="171" t="s">
        <v>4</v>
      </c>
      <c r="E23793" s="11">
        <v>45689</v>
      </c>
      <c r="F23793">
        <v>0</v>
      </c>
      <c r="G23793">
        <v>0</v>
      </c>
      <c r="I23793">
        <v>0</v>
      </c>
      <c r="J23793">
        <v>0</v>
      </c>
      <c r="L23793">
        <v>0</v>
      </c>
      <c r="N23793">
        <v>0</v>
      </c>
      <c r="P23793">
        <v>0</v>
      </c>
      <c r="Q23793">
        <v>0</v>
      </c>
      <c r="S23793">
        <v>0</v>
      </c>
    </row>
    <row r="23794" spans="1:19" x14ac:dyDescent="0.3">
      <c r="A23794" t="str">
        <f t="shared" si="36"/>
        <v>Community ConnectionsTIP CombinedFeb-25</v>
      </c>
      <c r="B23794" s="171" t="s">
        <v>46709</v>
      </c>
      <c r="C23794" s="171" t="s">
        <v>116</v>
      </c>
      <c r="D23794" s="171" t="s">
        <v>4</v>
      </c>
      <c r="E23794" s="11">
        <v>45689</v>
      </c>
      <c r="F23794">
        <v>0</v>
      </c>
      <c r="G23794">
        <v>0</v>
      </c>
      <c r="I23794">
        <v>0</v>
      </c>
      <c r="J23794">
        <v>0</v>
      </c>
      <c r="L23794">
        <v>0</v>
      </c>
      <c r="N23794">
        <v>0</v>
      </c>
      <c r="P23794">
        <v>0</v>
      </c>
      <c r="Q23794">
        <v>0</v>
      </c>
      <c r="S23794">
        <v>0</v>
      </c>
    </row>
    <row r="23795" spans="1:19" x14ac:dyDescent="0.3">
      <c r="A23795" t="str">
        <f t="shared" si="36"/>
        <v>ContemporaryTIP CombinedFeb-25</v>
      </c>
      <c r="B23795" s="171" t="s">
        <v>46710</v>
      </c>
      <c r="C23795" s="171" t="s">
        <v>9862</v>
      </c>
      <c r="D23795" s="171" t="s">
        <v>4</v>
      </c>
      <c r="E23795" s="11">
        <v>45689</v>
      </c>
      <c r="F23795">
        <v>0</v>
      </c>
      <c r="G23795">
        <v>0</v>
      </c>
      <c r="I23795">
        <v>0</v>
      </c>
      <c r="J23795">
        <v>0</v>
      </c>
      <c r="L23795">
        <v>0</v>
      </c>
      <c r="N23795">
        <v>0</v>
      </c>
      <c r="P23795">
        <v>0</v>
      </c>
      <c r="Q23795">
        <v>0</v>
      </c>
      <c r="S23795">
        <v>0</v>
      </c>
    </row>
    <row r="23796" spans="1:19" x14ac:dyDescent="0.3">
      <c r="A23796" t="str">
        <f t="shared" si="36"/>
        <v>FPSTIP CombinedFeb-25</v>
      </c>
      <c r="B23796" s="171" t="s">
        <v>46711</v>
      </c>
      <c r="C23796" s="171" t="s">
        <v>140</v>
      </c>
      <c r="D23796" s="171" t="s">
        <v>4</v>
      </c>
      <c r="E23796" s="11">
        <v>45689</v>
      </c>
      <c r="F23796">
        <v>0</v>
      </c>
      <c r="G23796">
        <v>0</v>
      </c>
      <c r="I23796">
        <v>0</v>
      </c>
      <c r="J23796">
        <v>0</v>
      </c>
      <c r="L23796">
        <v>0</v>
      </c>
      <c r="N23796">
        <v>0</v>
      </c>
      <c r="P23796">
        <v>0</v>
      </c>
      <c r="Q23796">
        <v>0</v>
      </c>
      <c r="S23796">
        <v>0</v>
      </c>
    </row>
    <row r="23797" spans="1:19" x14ac:dyDescent="0.3">
      <c r="A23797" t="str">
        <f t="shared" si="36"/>
        <v>Green DoorTIP CombinedFeb-25</v>
      </c>
      <c r="B23797" s="171" t="s">
        <v>46712</v>
      </c>
      <c r="C23797" s="171" t="s">
        <v>8590</v>
      </c>
      <c r="D23797" s="171" t="s">
        <v>4</v>
      </c>
      <c r="E23797" s="11">
        <v>45689</v>
      </c>
      <c r="F23797">
        <v>0</v>
      </c>
      <c r="G23797">
        <v>0</v>
      </c>
      <c r="I23797">
        <v>0</v>
      </c>
      <c r="J23797">
        <v>0</v>
      </c>
      <c r="L23797">
        <v>0</v>
      </c>
      <c r="N23797">
        <v>0</v>
      </c>
      <c r="P23797">
        <v>0</v>
      </c>
      <c r="Q23797">
        <v>0</v>
      </c>
      <c r="S23797">
        <v>0</v>
      </c>
    </row>
    <row r="23798" spans="1:19" x14ac:dyDescent="0.3">
      <c r="A23798" t="str">
        <f t="shared" si="36"/>
        <v>LESTIP CombinedFeb-25</v>
      </c>
      <c r="B23798" s="171" t="s">
        <v>46713</v>
      </c>
      <c r="C23798" s="171" t="s">
        <v>170</v>
      </c>
      <c r="D23798" s="171" t="s">
        <v>4</v>
      </c>
      <c r="E23798" s="11">
        <v>45689</v>
      </c>
      <c r="F23798">
        <v>2.5</v>
      </c>
      <c r="G23798">
        <v>2.5</v>
      </c>
      <c r="I23798">
        <v>11</v>
      </c>
      <c r="J23798">
        <v>35</v>
      </c>
      <c r="L23798">
        <v>35</v>
      </c>
      <c r="N23798">
        <v>11</v>
      </c>
      <c r="P23798">
        <v>0</v>
      </c>
      <c r="Q23798">
        <v>0</v>
      </c>
      <c r="S23798">
        <v>0</v>
      </c>
    </row>
    <row r="23799" spans="1:19" x14ac:dyDescent="0.3">
      <c r="A23799" t="str">
        <f t="shared" si="36"/>
        <v>MBI HSTIP CombinedFeb-25</v>
      </c>
      <c r="B23799" s="171" t="s">
        <v>46714</v>
      </c>
      <c r="C23799" s="171" t="s">
        <v>182</v>
      </c>
      <c r="D23799" s="171" t="s">
        <v>4</v>
      </c>
      <c r="E23799" s="11">
        <v>45689</v>
      </c>
      <c r="F23799">
        <v>7</v>
      </c>
      <c r="G23799">
        <v>9</v>
      </c>
      <c r="I23799">
        <v>39</v>
      </c>
      <c r="J23799">
        <v>80</v>
      </c>
      <c r="L23799">
        <v>102</v>
      </c>
      <c r="N23799">
        <v>39</v>
      </c>
      <c r="P23799">
        <v>0</v>
      </c>
      <c r="Q23799">
        <v>0</v>
      </c>
      <c r="S23799">
        <v>0</v>
      </c>
    </row>
    <row r="23800" spans="1:19" x14ac:dyDescent="0.3">
      <c r="A23800" t="str">
        <f t="shared" si="36"/>
        <v>PASSTIP CombinedFeb-25</v>
      </c>
      <c r="B23800" s="171" t="s">
        <v>46715</v>
      </c>
      <c r="C23800" s="171" t="s">
        <v>197</v>
      </c>
      <c r="D23800" s="171" t="s">
        <v>4</v>
      </c>
      <c r="E23800" s="11">
        <v>45689</v>
      </c>
      <c r="F23800">
        <v>7</v>
      </c>
      <c r="G23800">
        <v>8</v>
      </c>
      <c r="I23800">
        <v>92</v>
      </c>
      <c r="J23800">
        <v>70</v>
      </c>
      <c r="L23800">
        <v>80</v>
      </c>
      <c r="N23800">
        <v>82</v>
      </c>
      <c r="P23800">
        <v>4</v>
      </c>
      <c r="Q23800">
        <v>7</v>
      </c>
      <c r="S23800">
        <v>10</v>
      </c>
    </row>
    <row r="23801" spans="1:19" x14ac:dyDescent="0.3">
      <c r="A23801" t="str">
        <f t="shared" si="36"/>
        <v>TFCCTIP CombinedFeb-25</v>
      </c>
      <c r="B23801" s="171" t="s">
        <v>46716</v>
      </c>
      <c r="C23801" s="171" t="s">
        <v>218</v>
      </c>
      <c r="D23801" s="171" t="s">
        <v>4</v>
      </c>
      <c r="E23801" s="11">
        <v>45689</v>
      </c>
      <c r="F23801">
        <v>0</v>
      </c>
      <c r="G23801">
        <v>0</v>
      </c>
      <c r="I23801">
        <v>0</v>
      </c>
      <c r="J23801">
        <v>0</v>
      </c>
      <c r="L23801">
        <v>0</v>
      </c>
      <c r="N23801">
        <v>0</v>
      </c>
      <c r="P23801">
        <v>0</v>
      </c>
      <c r="Q23801">
        <v>0</v>
      </c>
      <c r="S23801">
        <v>0</v>
      </c>
    </row>
    <row r="23802" spans="1:19" x14ac:dyDescent="0.3">
      <c r="A23802" t="str">
        <f t="shared" si="36"/>
        <v>UmbrellaTIP CombinedFeb-25</v>
      </c>
      <c r="B23802" s="171" t="s">
        <v>46717</v>
      </c>
      <c r="C23802" s="171" t="s">
        <v>34871</v>
      </c>
      <c r="D23802" s="171" t="s">
        <v>4</v>
      </c>
      <c r="E23802" s="11">
        <v>45689</v>
      </c>
      <c r="F23802">
        <v>6</v>
      </c>
      <c r="G23802">
        <v>6</v>
      </c>
      <c r="I23802">
        <v>32</v>
      </c>
      <c r="J23802">
        <v>66</v>
      </c>
      <c r="L23802">
        <v>66</v>
      </c>
      <c r="N23802">
        <v>32</v>
      </c>
      <c r="P23802">
        <v>0</v>
      </c>
      <c r="Q23802">
        <v>1</v>
      </c>
      <c r="S23802">
        <v>0</v>
      </c>
    </row>
    <row r="23803" spans="1:19" x14ac:dyDescent="0.3">
      <c r="A23803" t="str">
        <f t="shared" si="36"/>
        <v>UniversalTIP CombinedFeb-25</v>
      </c>
      <c r="B23803" s="171" t="s">
        <v>46718</v>
      </c>
      <c r="C23803" s="171" t="s">
        <v>230</v>
      </c>
      <c r="D23803" s="171" t="s">
        <v>4</v>
      </c>
      <c r="E23803" s="11">
        <v>45689</v>
      </c>
      <c r="F23803">
        <v>0</v>
      </c>
      <c r="G23803">
        <v>0</v>
      </c>
      <c r="I23803">
        <v>0</v>
      </c>
      <c r="J23803">
        <v>0</v>
      </c>
      <c r="L23803">
        <v>0</v>
      </c>
      <c r="N23803">
        <v>0</v>
      </c>
      <c r="P23803">
        <v>0</v>
      </c>
      <c r="Q23803">
        <v>0</v>
      </c>
      <c r="S23803">
        <v>0</v>
      </c>
    </row>
    <row r="23804" spans="1:19" x14ac:dyDescent="0.3">
      <c r="A23804" t="str">
        <f t="shared" si="36"/>
        <v>Wayne PlaceTIP CombinedFeb-25</v>
      </c>
      <c r="B23804" s="171" t="s">
        <v>46719</v>
      </c>
      <c r="C23804" s="171" t="s">
        <v>8193</v>
      </c>
      <c r="D23804" s="171" t="s">
        <v>4</v>
      </c>
      <c r="E23804" s="11">
        <v>45689</v>
      </c>
      <c r="F23804">
        <v>2</v>
      </c>
      <c r="G23804">
        <v>3</v>
      </c>
      <c r="I23804">
        <v>8</v>
      </c>
      <c r="J23804">
        <v>22</v>
      </c>
      <c r="L23804">
        <v>33</v>
      </c>
      <c r="N23804">
        <v>6</v>
      </c>
      <c r="P23804">
        <v>0</v>
      </c>
      <c r="Q23804">
        <v>1</v>
      </c>
      <c r="S23804">
        <v>2</v>
      </c>
    </row>
    <row r="23805" spans="1:19" x14ac:dyDescent="0.3">
      <c r="A23805" t="str">
        <f t="shared" si="36"/>
        <v>Adoptions TogetherTST CombinedFeb-25</v>
      </c>
      <c r="B23805" s="171" t="s">
        <v>46720</v>
      </c>
      <c r="C23805" s="171" t="s">
        <v>10522</v>
      </c>
      <c r="D23805" s="171" t="s">
        <v>4</v>
      </c>
      <c r="E23805" s="11">
        <v>45689</v>
      </c>
      <c r="F23805">
        <v>0</v>
      </c>
      <c r="G23805">
        <v>0</v>
      </c>
      <c r="I23805">
        <v>0</v>
      </c>
      <c r="J23805">
        <v>0</v>
      </c>
      <c r="L23805">
        <v>0</v>
      </c>
      <c r="N23805">
        <v>0</v>
      </c>
      <c r="P23805">
        <v>0</v>
      </c>
      <c r="Q23805">
        <v>0</v>
      </c>
      <c r="S23805">
        <v>0</v>
      </c>
    </row>
    <row r="23806" spans="1:19" x14ac:dyDescent="0.3">
      <c r="A23806" t="str">
        <f t="shared" si="36"/>
        <v>ContemporaryTST CombinedFeb-25</v>
      </c>
      <c r="B23806" s="171" t="s">
        <v>46721</v>
      </c>
      <c r="C23806" s="171" t="s">
        <v>10525</v>
      </c>
      <c r="D23806" s="171" t="s">
        <v>4</v>
      </c>
      <c r="E23806" s="11">
        <v>45689</v>
      </c>
      <c r="F23806">
        <v>0</v>
      </c>
      <c r="G23806">
        <v>0</v>
      </c>
      <c r="I23806">
        <v>0</v>
      </c>
      <c r="J23806">
        <v>0</v>
      </c>
      <c r="L23806">
        <v>0</v>
      </c>
      <c r="N23806">
        <v>0</v>
      </c>
      <c r="P23806">
        <v>0</v>
      </c>
      <c r="Q23806">
        <v>0</v>
      </c>
      <c r="S23806">
        <v>0</v>
      </c>
    </row>
    <row r="23807" spans="1:19" x14ac:dyDescent="0.3">
      <c r="A23807" t="str">
        <f t="shared" si="36"/>
        <v>Family MattersTST CombinedFeb-25</v>
      </c>
      <c r="B23807" s="171" t="s">
        <v>46722</v>
      </c>
      <c r="C23807" s="171" t="s">
        <v>10528</v>
      </c>
      <c r="D23807" s="171" t="s">
        <v>4</v>
      </c>
      <c r="E23807" s="11">
        <v>45689</v>
      </c>
      <c r="F23807">
        <v>0</v>
      </c>
      <c r="G23807">
        <v>0</v>
      </c>
      <c r="I23807">
        <v>0</v>
      </c>
      <c r="J23807">
        <v>0</v>
      </c>
      <c r="L23807">
        <v>0</v>
      </c>
      <c r="N23807">
        <v>0</v>
      </c>
      <c r="P23807">
        <v>0</v>
      </c>
      <c r="Q23807">
        <v>0</v>
      </c>
      <c r="S23807">
        <v>0</v>
      </c>
    </row>
    <row r="23808" spans="1:19" x14ac:dyDescent="0.3">
      <c r="A23808" t="str">
        <f t="shared" si="36"/>
        <v>First Home CareTST CombinedFeb-25</v>
      </c>
      <c r="B23808" s="171" t="s">
        <v>46723</v>
      </c>
      <c r="C23808" s="171" t="s">
        <v>10531</v>
      </c>
      <c r="D23808" s="171" t="s">
        <v>4</v>
      </c>
      <c r="E23808" s="11">
        <v>45689</v>
      </c>
      <c r="F23808">
        <v>0</v>
      </c>
      <c r="G23808">
        <v>0</v>
      </c>
      <c r="I23808">
        <v>0</v>
      </c>
      <c r="J23808">
        <v>0</v>
      </c>
      <c r="L23808">
        <v>0</v>
      </c>
      <c r="N23808">
        <v>0</v>
      </c>
      <c r="P23808">
        <v>0</v>
      </c>
      <c r="Q23808">
        <v>0</v>
      </c>
      <c r="S23808">
        <v>0</v>
      </c>
    </row>
    <row r="23809" spans="1:19" x14ac:dyDescent="0.3">
      <c r="A23809" t="str">
        <f t="shared" si="36"/>
        <v>Foundations for Home &amp; CommunityTST CombinedFeb-25</v>
      </c>
      <c r="B23809" s="171" t="s">
        <v>46724</v>
      </c>
      <c r="C23809" s="171" t="s">
        <v>14880</v>
      </c>
      <c r="D23809" s="171" t="s">
        <v>4</v>
      </c>
      <c r="E23809" s="11">
        <v>45689</v>
      </c>
      <c r="F23809">
        <v>0</v>
      </c>
      <c r="G23809">
        <v>0</v>
      </c>
      <c r="I23809">
        <v>0</v>
      </c>
      <c r="J23809">
        <v>0</v>
      </c>
      <c r="L23809">
        <v>0</v>
      </c>
      <c r="N23809">
        <v>0</v>
      </c>
      <c r="P23809">
        <v>0</v>
      </c>
      <c r="Q23809">
        <v>0</v>
      </c>
      <c r="S23809">
        <v>0</v>
      </c>
    </row>
    <row r="23810" spans="1:19" x14ac:dyDescent="0.3">
      <c r="A23810" t="str">
        <f t="shared" si="36"/>
        <v>HillcrestTST CombinedFeb-25</v>
      </c>
      <c r="B23810" s="171" t="s">
        <v>46725</v>
      </c>
      <c r="C23810" s="171" t="s">
        <v>10534</v>
      </c>
      <c r="D23810" s="171" t="s">
        <v>4</v>
      </c>
      <c r="E23810" s="11">
        <v>45689</v>
      </c>
      <c r="F23810">
        <v>3.5</v>
      </c>
      <c r="G23810">
        <v>1.5</v>
      </c>
      <c r="I23810">
        <v>13</v>
      </c>
      <c r="J23810">
        <v>20</v>
      </c>
      <c r="L23810">
        <v>8</v>
      </c>
      <c r="N23810">
        <v>2</v>
      </c>
      <c r="P23810">
        <v>1</v>
      </c>
      <c r="Q23810">
        <v>1</v>
      </c>
      <c r="S23810">
        <v>11</v>
      </c>
    </row>
    <row r="23811" spans="1:19" x14ac:dyDescent="0.3">
      <c r="A23811" t="str">
        <f t="shared" si="36"/>
        <v>MD Family ResourcesTST CombinedFeb-25</v>
      </c>
      <c r="B23811" s="171" t="s">
        <v>46726</v>
      </c>
      <c r="C23811" s="171" t="s">
        <v>10537</v>
      </c>
      <c r="D23811" s="171" t="s">
        <v>4</v>
      </c>
      <c r="E23811" s="11">
        <v>45689</v>
      </c>
      <c r="F23811">
        <v>0</v>
      </c>
      <c r="G23811">
        <v>1</v>
      </c>
      <c r="I23811">
        <v>0</v>
      </c>
      <c r="J23811">
        <v>0</v>
      </c>
      <c r="L23811">
        <v>6</v>
      </c>
      <c r="N23811">
        <v>0</v>
      </c>
      <c r="P23811">
        <v>0</v>
      </c>
      <c r="Q23811">
        <v>0</v>
      </c>
      <c r="S23811">
        <v>0</v>
      </c>
    </row>
    <row r="23812" spans="1:19" x14ac:dyDescent="0.3">
      <c r="A23812" t="str">
        <f t="shared" si="36"/>
        <v>Marys CenterCPP-FV CombinedFeb-25</v>
      </c>
      <c r="B23812" s="171" t="s">
        <v>46727</v>
      </c>
      <c r="C23812" s="171" t="s">
        <v>15347</v>
      </c>
      <c r="D23812" s="171" t="s">
        <v>4</v>
      </c>
      <c r="E23812" s="11">
        <v>45689</v>
      </c>
      <c r="F23812">
        <v>1.5</v>
      </c>
      <c r="G23812">
        <v>2.5</v>
      </c>
      <c r="I23812">
        <v>6</v>
      </c>
      <c r="J23812">
        <v>9</v>
      </c>
      <c r="L23812">
        <v>15</v>
      </c>
      <c r="N23812">
        <v>6</v>
      </c>
      <c r="P23812">
        <v>0</v>
      </c>
      <c r="Q23812">
        <v>1</v>
      </c>
      <c r="S23812">
        <v>0</v>
      </c>
    </row>
    <row r="23813" spans="1:19" x14ac:dyDescent="0.3">
      <c r="A23813" t="str">
        <f t="shared" ref="A23813:A23876" si="37">C23813&amp;" "&amp;D23813&amp;"Feb-25"</f>
        <v>PIECECPP-FV CombinedFeb-25</v>
      </c>
      <c r="B23813" s="171" t="s">
        <v>46728</v>
      </c>
      <c r="C23813" s="171" t="s">
        <v>203</v>
      </c>
      <c r="D23813" s="171" t="s">
        <v>4</v>
      </c>
      <c r="E23813" s="11">
        <v>45689</v>
      </c>
      <c r="F23813">
        <v>3</v>
      </c>
      <c r="G23813">
        <v>2.5</v>
      </c>
      <c r="I23813">
        <v>4</v>
      </c>
      <c r="J23813">
        <v>15</v>
      </c>
      <c r="L23813">
        <v>13</v>
      </c>
      <c r="N23813">
        <v>4</v>
      </c>
      <c r="P23813">
        <v>0</v>
      </c>
      <c r="Q23813">
        <v>0</v>
      </c>
      <c r="S23813">
        <v>0</v>
      </c>
    </row>
    <row r="23814" spans="1:19" x14ac:dyDescent="0.3">
      <c r="A23814" t="str">
        <f t="shared" si="37"/>
        <v>Community ConnectionsCPP-FV CombinedFeb-25</v>
      </c>
      <c r="B23814" s="171" t="s">
        <v>46729</v>
      </c>
      <c r="C23814" s="171" t="s">
        <v>15340</v>
      </c>
      <c r="D23814" s="171" t="s">
        <v>4</v>
      </c>
      <c r="E23814" s="11">
        <v>45689</v>
      </c>
      <c r="F23814">
        <v>0</v>
      </c>
      <c r="G23814">
        <v>0</v>
      </c>
      <c r="I23814">
        <v>0</v>
      </c>
      <c r="J23814">
        <v>0</v>
      </c>
      <c r="L23814">
        <v>0</v>
      </c>
      <c r="N23814">
        <v>0</v>
      </c>
      <c r="P23814">
        <v>0</v>
      </c>
      <c r="Q23814">
        <v>0</v>
      </c>
      <c r="S23814">
        <v>0</v>
      </c>
    </row>
    <row r="23815" spans="1:19" x14ac:dyDescent="0.3">
      <c r="A23815" t="str">
        <f t="shared" si="37"/>
        <v>Community ConnectionsPCIT CombinedFeb-25</v>
      </c>
      <c r="B23815" s="171" t="s">
        <v>46730</v>
      </c>
      <c r="C23815" s="171" t="s">
        <v>16544</v>
      </c>
      <c r="D23815" s="171" t="s">
        <v>4</v>
      </c>
      <c r="E23815" s="11">
        <v>45689</v>
      </c>
      <c r="F23815">
        <v>0</v>
      </c>
      <c r="G23815">
        <v>0</v>
      </c>
      <c r="I23815">
        <v>0</v>
      </c>
      <c r="J23815">
        <v>0</v>
      </c>
      <c r="L23815">
        <v>0</v>
      </c>
      <c r="N23815">
        <v>0</v>
      </c>
      <c r="P23815">
        <v>0</v>
      </c>
      <c r="Q23815">
        <v>0</v>
      </c>
      <c r="S23815">
        <v>0</v>
      </c>
    </row>
    <row r="23816" spans="1:19" x14ac:dyDescent="0.3">
      <c r="A23816" t="str">
        <f t="shared" si="37"/>
        <v>Marys CenterPCIT CombinedFeb-25</v>
      </c>
      <c r="B23816" s="171" t="s">
        <v>46731</v>
      </c>
      <c r="C23816" s="171" t="s">
        <v>176</v>
      </c>
      <c r="D23816" s="171" t="s">
        <v>4</v>
      </c>
      <c r="E23816" s="11">
        <v>45689</v>
      </c>
      <c r="F23816">
        <v>1.5</v>
      </c>
      <c r="G23816">
        <v>2</v>
      </c>
      <c r="I23816">
        <v>1</v>
      </c>
      <c r="J23816">
        <v>8</v>
      </c>
      <c r="L23816">
        <v>11</v>
      </c>
      <c r="N23816">
        <v>1</v>
      </c>
      <c r="P23816">
        <v>0</v>
      </c>
      <c r="Q23816">
        <v>0</v>
      </c>
      <c r="S23816">
        <v>0</v>
      </c>
    </row>
    <row r="23817" spans="1:19" x14ac:dyDescent="0.3">
      <c r="A23817" t="str">
        <f t="shared" si="37"/>
        <v>PIECEPCIT CombinedFeb-25</v>
      </c>
      <c r="B23817" s="171" t="s">
        <v>46732</v>
      </c>
      <c r="C23817" s="171" t="s">
        <v>206</v>
      </c>
      <c r="D23817" s="171" t="s">
        <v>4</v>
      </c>
      <c r="E23817" s="11">
        <v>45689</v>
      </c>
      <c r="F23817">
        <v>1.5</v>
      </c>
      <c r="G23817">
        <v>1.5</v>
      </c>
      <c r="I23817">
        <v>2</v>
      </c>
      <c r="J23817">
        <v>7</v>
      </c>
      <c r="L23817">
        <v>7</v>
      </c>
      <c r="N23817">
        <v>1</v>
      </c>
      <c r="P23817">
        <v>0</v>
      </c>
      <c r="Q23817">
        <v>0</v>
      </c>
      <c r="S23817">
        <v>1</v>
      </c>
    </row>
    <row r="23818" spans="1:19" x14ac:dyDescent="0.3">
      <c r="A23818" t="str">
        <f t="shared" si="37"/>
        <v>Better MorningsFFT FFFeb-25</v>
      </c>
      <c r="B23818" s="171" t="s">
        <v>46618</v>
      </c>
      <c r="C23818" s="171" t="s">
        <v>24284</v>
      </c>
      <c r="D23818" s="171" t="s">
        <v>80</v>
      </c>
      <c r="E23818" s="11">
        <v>45689</v>
      </c>
      <c r="F23818">
        <v>7</v>
      </c>
      <c r="G23818">
        <v>7</v>
      </c>
      <c r="I23818">
        <v>30</v>
      </c>
      <c r="J23818">
        <v>33</v>
      </c>
      <c r="L23818">
        <v>33</v>
      </c>
      <c r="N23818">
        <v>20</v>
      </c>
      <c r="P23818">
        <v>0</v>
      </c>
      <c r="Q23818">
        <v>0</v>
      </c>
      <c r="S23818">
        <v>10</v>
      </c>
    </row>
    <row r="23819" spans="1:19" x14ac:dyDescent="0.3">
      <c r="A23819" t="str">
        <f t="shared" si="37"/>
        <v>CatholicAll FFFeb-25</v>
      </c>
      <c r="B23819" s="171" t="s">
        <v>46733</v>
      </c>
      <c r="C23819" s="171" t="s">
        <v>18229</v>
      </c>
      <c r="D23819" s="171" t="s">
        <v>80</v>
      </c>
      <c r="E23819" s="11">
        <v>45689</v>
      </c>
      <c r="F23819">
        <v>0</v>
      </c>
      <c r="G23819">
        <v>0</v>
      </c>
      <c r="I23819">
        <v>0</v>
      </c>
      <c r="J23819">
        <v>0</v>
      </c>
      <c r="L23819">
        <v>0</v>
      </c>
      <c r="N23819">
        <v>0</v>
      </c>
      <c r="P23819">
        <v>0</v>
      </c>
      <c r="Q23819">
        <v>0</v>
      </c>
      <c r="S23819">
        <v>0</v>
      </c>
    </row>
    <row r="23820" spans="1:19" x14ac:dyDescent="0.3">
      <c r="A23820" t="str">
        <f t="shared" si="37"/>
        <v>ContemporaryAll FFFeb-25</v>
      </c>
      <c r="B23820" s="171" t="s">
        <v>46734</v>
      </c>
      <c r="C23820" s="171" t="s">
        <v>9887</v>
      </c>
      <c r="D23820" s="171" t="s">
        <v>80</v>
      </c>
      <c r="E23820" s="11">
        <v>45689</v>
      </c>
      <c r="F23820">
        <v>0</v>
      </c>
      <c r="G23820">
        <v>0</v>
      </c>
      <c r="I23820">
        <v>0</v>
      </c>
      <c r="J23820">
        <v>0</v>
      </c>
      <c r="L23820">
        <v>0</v>
      </c>
      <c r="N23820">
        <v>0</v>
      </c>
      <c r="P23820">
        <v>0</v>
      </c>
      <c r="Q23820">
        <v>0</v>
      </c>
      <c r="S23820">
        <v>0</v>
      </c>
    </row>
    <row r="23821" spans="1:19" x14ac:dyDescent="0.3">
      <c r="A23821" t="str">
        <f t="shared" si="37"/>
        <v>DBH Parent SupportAll FFFeb-25</v>
      </c>
      <c r="B23821" s="171" t="s">
        <v>46735</v>
      </c>
      <c r="C23821" s="171" t="s">
        <v>35010</v>
      </c>
      <c r="D23821" s="171" t="s">
        <v>80</v>
      </c>
      <c r="E23821" s="11">
        <v>45689</v>
      </c>
      <c r="F23821">
        <v>0</v>
      </c>
      <c r="G23821">
        <v>0</v>
      </c>
      <c r="I23821">
        <v>0</v>
      </c>
      <c r="J23821">
        <v>0</v>
      </c>
      <c r="L23821">
        <v>0</v>
      </c>
      <c r="N23821">
        <v>0</v>
      </c>
      <c r="P23821">
        <v>0</v>
      </c>
      <c r="Q23821">
        <v>0</v>
      </c>
      <c r="S23821">
        <v>0</v>
      </c>
    </row>
    <row r="23822" spans="1:19" x14ac:dyDescent="0.3">
      <c r="A23822" t="str">
        <f t="shared" si="37"/>
        <v>Family MattersAll FFFeb-25</v>
      </c>
      <c r="B23822" s="171" t="s">
        <v>46736</v>
      </c>
      <c r="C23822" s="171" t="s">
        <v>11260</v>
      </c>
      <c r="D23822" s="171" t="s">
        <v>80</v>
      </c>
      <c r="E23822" s="11">
        <v>45689</v>
      </c>
      <c r="F23822">
        <v>0</v>
      </c>
      <c r="G23822">
        <v>0</v>
      </c>
      <c r="I23822">
        <v>0</v>
      </c>
      <c r="J23822">
        <v>0</v>
      </c>
      <c r="L23822">
        <v>0</v>
      </c>
      <c r="N23822">
        <v>0</v>
      </c>
      <c r="P23822">
        <v>0</v>
      </c>
      <c r="Q23822">
        <v>0</v>
      </c>
      <c r="S23822">
        <v>0</v>
      </c>
    </row>
    <row r="23823" spans="1:19" x14ac:dyDescent="0.3">
      <c r="A23823" t="str">
        <f t="shared" si="37"/>
        <v>Federal City All FFFeb-25</v>
      </c>
      <c r="B23823" s="171" t="s">
        <v>46737</v>
      </c>
      <c r="C23823" s="171" t="s">
        <v>21284</v>
      </c>
      <c r="D23823" s="171" t="s">
        <v>80</v>
      </c>
      <c r="E23823" s="11">
        <v>45689</v>
      </c>
      <c r="F23823">
        <v>0</v>
      </c>
      <c r="G23823">
        <v>0</v>
      </c>
      <c r="I23823">
        <v>0</v>
      </c>
      <c r="J23823">
        <v>0</v>
      </c>
      <c r="L23823">
        <v>0</v>
      </c>
      <c r="N23823">
        <v>0</v>
      </c>
      <c r="P23823">
        <v>0</v>
      </c>
      <c r="Q23823">
        <v>0</v>
      </c>
      <c r="S23823">
        <v>0</v>
      </c>
    </row>
    <row r="23824" spans="1:19" x14ac:dyDescent="0.3">
      <c r="A23824" t="str">
        <f t="shared" si="37"/>
        <v>First Home CareAll FFFeb-25</v>
      </c>
      <c r="B23824" s="171" t="s">
        <v>46738</v>
      </c>
      <c r="C23824" s="171" t="s">
        <v>125</v>
      </c>
      <c r="D23824" s="171" t="s">
        <v>80</v>
      </c>
      <c r="E23824" s="11">
        <v>45689</v>
      </c>
      <c r="F23824">
        <v>0</v>
      </c>
      <c r="G23824">
        <v>0</v>
      </c>
      <c r="I23824">
        <v>0</v>
      </c>
      <c r="J23824">
        <v>0</v>
      </c>
      <c r="L23824">
        <v>0</v>
      </c>
      <c r="N23824">
        <v>0</v>
      </c>
      <c r="P23824">
        <v>0</v>
      </c>
      <c r="Q23824">
        <v>0</v>
      </c>
      <c r="S23824">
        <v>0</v>
      </c>
    </row>
    <row r="23825" spans="1:19" x14ac:dyDescent="0.3">
      <c r="A23825" t="str">
        <f t="shared" si="37"/>
        <v>Foundations for Home &amp; CommunityAll FFFeb-25</v>
      </c>
      <c r="B23825" s="171" t="s">
        <v>46739</v>
      </c>
      <c r="C23825" s="171" t="s">
        <v>14899</v>
      </c>
      <c r="D23825" s="171" t="s">
        <v>80</v>
      </c>
      <c r="E23825" s="11">
        <v>45689</v>
      </c>
      <c r="F23825">
        <v>0</v>
      </c>
      <c r="G23825">
        <v>0</v>
      </c>
      <c r="I23825">
        <v>0</v>
      </c>
      <c r="J23825">
        <v>0</v>
      </c>
      <c r="L23825">
        <v>0</v>
      </c>
      <c r="N23825">
        <v>0</v>
      </c>
      <c r="P23825">
        <v>0</v>
      </c>
      <c r="Q23825">
        <v>0</v>
      </c>
      <c r="S23825">
        <v>0</v>
      </c>
    </row>
    <row r="23826" spans="1:19" x14ac:dyDescent="0.3">
      <c r="A23826" t="str">
        <f t="shared" si="37"/>
        <v>FPSAll FFFeb-25</v>
      </c>
      <c r="B23826" s="171" t="s">
        <v>46740</v>
      </c>
      <c r="C23826" s="171" t="s">
        <v>137</v>
      </c>
      <c r="D23826" s="171" t="s">
        <v>80</v>
      </c>
      <c r="E23826" s="11">
        <v>45689</v>
      </c>
      <c r="F23826">
        <v>0</v>
      </c>
      <c r="G23826">
        <v>0</v>
      </c>
      <c r="I23826">
        <v>0</v>
      </c>
      <c r="J23826">
        <v>0</v>
      </c>
      <c r="L23826">
        <v>0</v>
      </c>
      <c r="N23826">
        <v>0</v>
      </c>
      <c r="P23826">
        <v>0</v>
      </c>
      <c r="Q23826">
        <v>0</v>
      </c>
      <c r="S23826">
        <v>0</v>
      </c>
    </row>
    <row r="23827" spans="1:19" x14ac:dyDescent="0.3">
      <c r="A23827" t="str">
        <f t="shared" si="37"/>
        <v>Green DoorAll FFFeb-25</v>
      </c>
      <c r="B23827" s="171" t="s">
        <v>46741</v>
      </c>
      <c r="C23827" s="171" t="s">
        <v>8615</v>
      </c>
      <c r="D23827" s="171" t="s">
        <v>80</v>
      </c>
      <c r="E23827" s="11">
        <v>45689</v>
      </c>
      <c r="F23827">
        <v>0</v>
      </c>
      <c r="G23827">
        <v>0</v>
      </c>
      <c r="I23827">
        <v>0</v>
      </c>
      <c r="J23827">
        <v>0</v>
      </c>
      <c r="L23827">
        <v>0</v>
      </c>
      <c r="N23827">
        <v>0</v>
      </c>
      <c r="P23827">
        <v>0</v>
      </c>
      <c r="Q23827">
        <v>0</v>
      </c>
      <c r="S23827">
        <v>0</v>
      </c>
    </row>
    <row r="23828" spans="1:19" x14ac:dyDescent="0.3">
      <c r="A23828" t="str">
        <f t="shared" si="37"/>
        <v>Healthy FuturesAll FFFeb-25</v>
      </c>
      <c r="B23828" s="171" t="s">
        <v>46742</v>
      </c>
      <c r="C23828" s="171" t="s">
        <v>35025</v>
      </c>
      <c r="D23828" s="171" t="s">
        <v>80</v>
      </c>
      <c r="E23828" s="11">
        <v>45689</v>
      </c>
      <c r="F23828">
        <v>0</v>
      </c>
      <c r="G23828">
        <v>0</v>
      </c>
      <c r="I23828">
        <v>0</v>
      </c>
      <c r="J23828">
        <v>0</v>
      </c>
      <c r="L23828">
        <v>0</v>
      </c>
      <c r="N23828">
        <v>0</v>
      </c>
      <c r="P23828">
        <v>0</v>
      </c>
      <c r="Q23828">
        <v>0</v>
      </c>
      <c r="S23828">
        <v>0</v>
      </c>
    </row>
    <row r="23829" spans="1:19" x14ac:dyDescent="0.3">
      <c r="A23829" t="str">
        <f t="shared" si="37"/>
        <v>HillcrestAll FFFeb-25</v>
      </c>
      <c r="B23829" s="171" t="s">
        <v>46743</v>
      </c>
      <c r="C23829" s="171" t="s">
        <v>146</v>
      </c>
      <c r="D23829" s="171" t="s">
        <v>80</v>
      </c>
      <c r="E23829" s="11">
        <v>45689</v>
      </c>
      <c r="F23829">
        <v>9.5</v>
      </c>
      <c r="G23829">
        <v>11.5</v>
      </c>
      <c r="I23829">
        <v>43</v>
      </c>
      <c r="J23829">
        <v>49</v>
      </c>
      <c r="L23829">
        <v>55</v>
      </c>
      <c r="N23829">
        <v>29</v>
      </c>
      <c r="P23829">
        <v>0</v>
      </c>
      <c r="Q23829">
        <v>0</v>
      </c>
      <c r="S23829">
        <v>14</v>
      </c>
    </row>
    <row r="23830" spans="1:19" x14ac:dyDescent="0.3">
      <c r="A23830" t="str">
        <f t="shared" si="37"/>
        <v>LAYCAll FFFeb-25</v>
      </c>
      <c r="B23830" s="171" t="s">
        <v>46744</v>
      </c>
      <c r="C23830" s="171" t="s">
        <v>161</v>
      </c>
      <c r="D23830" s="171" t="s">
        <v>80</v>
      </c>
      <c r="E23830" s="11">
        <v>45689</v>
      </c>
      <c r="F23830">
        <v>2.5</v>
      </c>
      <c r="G23830">
        <v>3.5</v>
      </c>
      <c r="I23830">
        <v>7</v>
      </c>
      <c r="J23830">
        <v>15</v>
      </c>
      <c r="L23830">
        <v>21</v>
      </c>
      <c r="N23830">
        <v>7</v>
      </c>
      <c r="P23830">
        <v>0</v>
      </c>
      <c r="Q23830">
        <v>0</v>
      </c>
      <c r="S23830">
        <v>0</v>
      </c>
    </row>
    <row r="23831" spans="1:19" x14ac:dyDescent="0.3">
      <c r="A23831" t="str">
        <f t="shared" si="37"/>
        <v>LCSAll FFFeb-25</v>
      </c>
      <c r="B23831" s="171" t="s">
        <v>46745</v>
      </c>
      <c r="C23831" s="171" t="s">
        <v>18252</v>
      </c>
      <c r="D23831" s="171" t="s">
        <v>80</v>
      </c>
      <c r="E23831" s="11">
        <v>45689</v>
      </c>
      <c r="F23831">
        <v>0</v>
      </c>
      <c r="G23831">
        <v>0</v>
      </c>
      <c r="I23831">
        <v>0</v>
      </c>
      <c r="J23831">
        <v>0</v>
      </c>
      <c r="L23831">
        <v>0</v>
      </c>
      <c r="N23831">
        <v>0</v>
      </c>
      <c r="P23831">
        <v>0</v>
      </c>
      <c r="Q23831">
        <v>0</v>
      </c>
      <c r="S23831">
        <v>0</v>
      </c>
    </row>
    <row r="23832" spans="1:19" x14ac:dyDescent="0.3">
      <c r="A23832" t="str">
        <f t="shared" si="37"/>
        <v>LESAll FFFeb-25</v>
      </c>
      <c r="B23832" s="171" t="s">
        <v>46746</v>
      </c>
      <c r="C23832" s="171" t="s">
        <v>167</v>
      </c>
      <c r="D23832" s="171" t="s">
        <v>80</v>
      </c>
      <c r="E23832" s="11">
        <v>45689</v>
      </c>
      <c r="F23832">
        <v>2.5</v>
      </c>
      <c r="G23832">
        <v>2.5</v>
      </c>
      <c r="I23832">
        <v>11</v>
      </c>
      <c r="J23832">
        <v>35</v>
      </c>
      <c r="L23832">
        <v>35</v>
      </c>
      <c r="N23832">
        <v>11</v>
      </c>
      <c r="P23832">
        <v>0</v>
      </c>
      <c r="Q23832">
        <v>0</v>
      </c>
      <c r="S23832">
        <v>0</v>
      </c>
    </row>
    <row r="23833" spans="1:19" x14ac:dyDescent="0.3">
      <c r="A23833" t="str">
        <f t="shared" si="37"/>
        <v>MBI HSAll FFFeb-25</v>
      </c>
      <c r="B23833" s="171" t="s">
        <v>46747</v>
      </c>
      <c r="C23833" s="171" t="s">
        <v>179</v>
      </c>
      <c r="D23833" s="171" t="s">
        <v>80</v>
      </c>
      <c r="E23833" s="11">
        <v>45689</v>
      </c>
      <c r="F23833">
        <v>10</v>
      </c>
      <c r="G23833">
        <v>15</v>
      </c>
      <c r="I23833">
        <v>52</v>
      </c>
      <c r="J23833">
        <v>93</v>
      </c>
      <c r="L23833">
        <v>130</v>
      </c>
      <c r="N23833">
        <v>47</v>
      </c>
      <c r="P23833">
        <v>0</v>
      </c>
      <c r="Q23833">
        <v>0</v>
      </c>
      <c r="S23833">
        <v>5</v>
      </c>
    </row>
    <row r="23834" spans="1:19" x14ac:dyDescent="0.3">
      <c r="A23834" t="str">
        <f t="shared" si="37"/>
        <v>MD Family ResourcesAll FFFeb-25</v>
      </c>
      <c r="B23834" s="171" t="s">
        <v>46748</v>
      </c>
      <c r="C23834" s="171" t="s">
        <v>185</v>
      </c>
      <c r="D23834" s="171" t="s">
        <v>80</v>
      </c>
      <c r="E23834" s="11">
        <v>45689</v>
      </c>
      <c r="F23834">
        <v>2</v>
      </c>
      <c r="G23834">
        <v>8.5</v>
      </c>
      <c r="I23834">
        <v>4</v>
      </c>
      <c r="J23834">
        <v>11</v>
      </c>
      <c r="L23834">
        <v>42</v>
      </c>
      <c r="N23834">
        <v>4</v>
      </c>
      <c r="P23834">
        <v>0</v>
      </c>
      <c r="Q23834">
        <v>0</v>
      </c>
      <c r="S23834">
        <v>0</v>
      </c>
    </row>
    <row r="23835" spans="1:19" x14ac:dyDescent="0.3">
      <c r="A23835" t="str">
        <f t="shared" si="37"/>
        <v>PASSAll FFFeb-25</v>
      </c>
      <c r="B23835" s="171" t="s">
        <v>46749</v>
      </c>
      <c r="C23835" s="171" t="s">
        <v>191</v>
      </c>
      <c r="D23835" s="171" t="s">
        <v>80</v>
      </c>
      <c r="E23835" s="11">
        <v>45689</v>
      </c>
      <c r="F23835">
        <v>9</v>
      </c>
      <c r="G23835">
        <v>13</v>
      </c>
      <c r="I23835">
        <v>104</v>
      </c>
      <c r="J23835">
        <v>82</v>
      </c>
      <c r="L23835">
        <v>107</v>
      </c>
      <c r="N23835">
        <v>93</v>
      </c>
      <c r="P23835">
        <v>0</v>
      </c>
      <c r="Q23835">
        <v>0</v>
      </c>
      <c r="S23835">
        <v>11</v>
      </c>
    </row>
    <row r="23836" spans="1:19" x14ac:dyDescent="0.3">
      <c r="A23836" t="str">
        <f t="shared" si="37"/>
        <v>RiversideAll FFFeb-25</v>
      </c>
      <c r="B23836" s="171" t="s">
        <v>46750</v>
      </c>
      <c r="C23836" s="171" t="s">
        <v>212</v>
      </c>
      <c r="D23836" s="171" t="s">
        <v>80</v>
      </c>
      <c r="E23836" s="11">
        <v>45689</v>
      </c>
      <c r="F23836">
        <v>0</v>
      </c>
      <c r="G23836">
        <v>0</v>
      </c>
      <c r="I23836">
        <v>0</v>
      </c>
      <c r="J23836">
        <v>0</v>
      </c>
      <c r="L23836">
        <v>0</v>
      </c>
      <c r="N23836">
        <v>0</v>
      </c>
      <c r="P23836">
        <v>0</v>
      </c>
      <c r="Q23836">
        <v>0</v>
      </c>
      <c r="S23836">
        <v>0</v>
      </c>
    </row>
    <row r="23837" spans="1:19" x14ac:dyDescent="0.3">
      <c r="A23837" t="str">
        <f t="shared" si="37"/>
        <v>TFCCAll FFFeb-25</v>
      </c>
      <c r="B23837" s="171" t="s">
        <v>46751</v>
      </c>
      <c r="C23837" s="171" t="s">
        <v>215</v>
      </c>
      <c r="D23837" s="171" t="s">
        <v>80</v>
      </c>
      <c r="E23837" s="11">
        <v>45689</v>
      </c>
      <c r="F23837">
        <v>0</v>
      </c>
      <c r="G23837">
        <v>0</v>
      </c>
      <c r="I23837">
        <v>0</v>
      </c>
      <c r="J23837">
        <v>0</v>
      </c>
      <c r="L23837">
        <v>0</v>
      </c>
      <c r="N23837">
        <v>0</v>
      </c>
      <c r="P23837">
        <v>0</v>
      </c>
      <c r="Q23837">
        <v>0</v>
      </c>
      <c r="S23837">
        <v>0</v>
      </c>
    </row>
    <row r="23838" spans="1:19" x14ac:dyDescent="0.3">
      <c r="A23838" t="str">
        <f t="shared" si="37"/>
        <v>UmbrellaAll FFFeb-25</v>
      </c>
      <c r="B23838" s="171" t="s">
        <v>46752</v>
      </c>
      <c r="C23838" s="171" t="s">
        <v>35119</v>
      </c>
      <c r="D23838" s="171" t="s">
        <v>80</v>
      </c>
      <c r="E23838" s="11">
        <v>45689</v>
      </c>
      <c r="F23838">
        <v>8</v>
      </c>
      <c r="G23838">
        <v>8</v>
      </c>
      <c r="I23838">
        <v>34</v>
      </c>
      <c r="J23838">
        <v>74</v>
      </c>
      <c r="L23838">
        <v>74</v>
      </c>
      <c r="N23838">
        <v>34</v>
      </c>
      <c r="P23838">
        <v>0</v>
      </c>
      <c r="Q23838">
        <v>0</v>
      </c>
      <c r="S23838">
        <v>0</v>
      </c>
    </row>
    <row r="23839" spans="1:19" x14ac:dyDescent="0.3">
      <c r="A23839" t="str">
        <f t="shared" si="37"/>
        <v>UniversalAll FFFeb-25</v>
      </c>
      <c r="B23839" s="171" t="s">
        <v>46753</v>
      </c>
      <c r="C23839" s="171" t="s">
        <v>221</v>
      </c>
      <c r="D23839" s="171" t="s">
        <v>80</v>
      </c>
      <c r="E23839" s="11">
        <v>45689</v>
      </c>
      <c r="F23839">
        <v>0</v>
      </c>
      <c r="G23839">
        <v>0</v>
      </c>
      <c r="I23839">
        <v>0</v>
      </c>
      <c r="J23839">
        <v>0</v>
      </c>
      <c r="L23839">
        <v>0</v>
      </c>
      <c r="N23839">
        <v>0</v>
      </c>
      <c r="P23839">
        <v>0</v>
      </c>
      <c r="Q23839">
        <v>0</v>
      </c>
      <c r="S23839">
        <v>0</v>
      </c>
    </row>
    <row r="23840" spans="1:19" x14ac:dyDescent="0.3">
      <c r="A23840" t="str">
        <f t="shared" si="37"/>
        <v>Wayne PlaceAll FFFeb-25</v>
      </c>
      <c r="B23840" s="171" t="s">
        <v>46754</v>
      </c>
      <c r="C23840" s="171" t="s">
        <v>8233</v>
      </c>
      <c r="D23840" s="171" t="s">
        <v>80</v>
      </c>
      <c r="E23840" s="11">
        <v>45689</v>
      </c>
      <c r="F23840">
        <v>2</v>
      </c>
      <c r="G23840">
        <v>3</v>
      </c>
      <c r="I23840">
        <v>8</v>
      </c>
      <c r="J23840">
        <v>22</v>
      </c>
      <c r="L23840">
        <v>33</v>
      </c>
      <c r="N23840">
        <v>6</v>
      </c>
      <c r="P23840">
        <v>0</v>
      </c>
      <c r="Q23840">
        <v>0</v>
      </c>
      <c r="S23840">
        <v>2</v>
      </c>
    </row>
    <row r="23841" spans="1:19" x14ac:dyDescent="0.3">
      <c r="A23841" t="str">
        <f t="shared" si="37"/>
        <v>Youth VillagesAll FFFeb-25</v>
      </c>
      <c r="B23841" s="171" t="s">
        <v>46755</v>
      </c>
      <c r="C23841" s="171" t="s">
        <v>233</v>
      </c>
      <c r="D23841" s="171" t="s">
        <v>80</v>
      </c>
      <c r="E23841" s="11">
        <v>45689</v>
      </c>
      <c r="F23841">
        <v>0</v>
      </c>
      <c r="G23841">
        <v>0</v>
      </c>
      <c r="I23841">
        <v>0</v>
      </c>
      <c r="J23841">
        <v>0</v>
      </c>
      <c r="L23841">
        <v>0</v>
      </c>
      <c r="N23841">
        <v>0</v>
      </c>
      <c r="P23841">
        <v>0</v>
      </c>
      <c r="Q23841">
        <v>0</v>
      </c>
      <c r="S23841">
        <v>0</v>
      </c>
    </row>
    <row r="23842" spans="1:19" x14ac:dyDescent="0.3">
      <c r="A23842" t="str">
        <f t="shared" si="37"/>
        <v>Medstar GeorgetownAll DCSFeb-25</v>
      </c>
      <c r="B23842" s="171" t="s">
        <v>46756</v>
      </c>
      <c r="C23842" s="171" t="s">
        <v>24508</v>
      </c>
      <c r="D23842" s="171" t="s">
        <v>15341</v>
      </c>
      <c r="E23842" s="11">
        <v>45689</v>
      </c>
      <c r="F23842">
        <v>0</v>
      </c>
      <c r="G23842">
        <v>0</v>
      </c>
      <c r="I23842">
        <v>0</v>
      </c>
      <c r="J23842">
        <v>0</v>
      </c>
      <c r="L23842">
        <v>0</v>
      </c>
      <c r="N23842">
        <v>0</v>
      </c>
      <c r="P23842">
        <v>0</v>
      </c>
      <c r="Q23842">
        <v>0</v>
      </c>
      <c r="S23842">
        <v>0</v>
      </c>
    </row>
    <row r="23843" spans="1:19" x14ac:dyDescent="0.3">
      <c r="A23843" t="str">
        <f t="shared" si="37"/>
        <v>Medstar GeorgetownAll FFFeb-25</v>
      </c>
      <c r="B23843" s="171" t="s">
        <v>46757</v>
      </c>
      <c r="C23843" s="171" t="s">
        <v>24508</v>
      </c>
      <c r="D23843" s="171" t="s">
        <v>80</v>
      </c>
      <c r="E23843" s="11">
        <v>45689</v>
      </c>
      <c r="F23843">
        <v>0</v>
      </c>
      <c r="G23843">
        <v>0</v>
      </c>
      <c r="I23843">
        <v>0</v>
      </c>
      <c r="J23843">
        <v>0</v>
      </c>
      <c r="L23843">
        <v>0</v>
      </c>
      <c r="N23843">
        <v>0</v>
      </c>
      <c r="P23843">
        <v>0</v>
      </c>
      <c r="Q23843">
        <v>0</v>
      </c>
      <c r="S23843">
        <v>0</v>
      </c>
    </row>
    <row r="23844" spans="1:19" x14ac:dyDescent="0.3">
      <c r="A23844" t="str">
        <f t="shared" si="37"/>
        <v>Community ConnectionsAll FFFeb-25</v>
      </c>
      <c r="B23844" s="171" t="s">
        <v>46758</v>
      </c>
      <c r="C23844" s="171" t="s">
        <v>107</v>
      </c>
      <c r="D23844" s="171" t="s">
        <v>80</v>
      </c>
      <c r="E23844" s="11">
        <v>45689</v>
      </c>
      <c r="F23844">
        <v>0</v>
      </c>
      <c r="G23844">
        <v>0</v>
      </c>
      <c r="I23844">
        <v>0</v>
      </c>
      <c r="J23844">
        <v>0</v>
      </c>
      <c r="L23844">
        <v>0</v>
      </c>
      <c r="N23844">
        <v>0</v>
      </c>
      <c r="P23844">
        <v>0</v>
      </c>
      <c r="Q23844">
        <v>0</v>
      </c>
      <c r="S23844">
        <v>0</v>
      </c>
    </row>
    <row r="23845" spans="1:19" x14ac:dyDescent="0.3">
      <c r="A23845" t="str">
        <f t="shared" si="37"/>
        <v>Community ConnectionsAll DCSFeb-25</v>
      </c>
      <c r="B23845" s="171" t="s">
        <v>46759</v>
      </c>
      <c r="C23845" s="171" t="s">
        <v>107</v>
      </c>
      <c r="D23845" s="171" t="s">
        <v>15341</v>
      </c>
      <c r="E23845" s="11">
        <v>45689</v>
      </c>
      <c r="F23845">
        <v>0</v>
      </c>
      <c r="G23845">
        <v>0</v>
      </c>
      <c r="I23845">
        <v>0</v>
      </c>
      <c r="J23845">
        <v>0</v>
      </c>
      <c r="L23845">
        <v>0</v>
      </c>
      <c r="N23845">
        <v>0</v>
      </c>
      <c r="P23845">
        <v>0</v>
      </c>
      <c r="Q23845">
        <v>0</v>
      </c>
      <c r="S23845">
        <v>0</v>
      </c>
    </row>
    <row r="23846" spans="1:19" x14ac:dyDescent="0.3">
      <c r="A23846" t="str">
        <f t="shared" si="37"/>
        <v>Marys CenterAll FFFeb-25</v>
      </c>
      <c r="B23846" s="171" t="s">
        <v>46760</v>
      </c>
      <c r="C23846" s="171" t="s">
        <v>173</v>
      </c>
      <c r="D23846" s="171" t="s">
        <v>80</v>
      </c>
      <c r="E23846" s="11">
        <v>45689</v>
      </c>
      <c r="F23846">
        <v>4</v>
      </c>
      <c r="G23846">
        <v>6.5</v>
      </c>
      <c r="I23846">
        <v>7</v>
      </c>
      <c r="J23846">
        <v>23</v>
      </c>
      <c r="L23846">
        <v>37</v>
      </c>
      <c r="N23846">
        <v>7</v>
      </c>
      <c r="P23846">
        <v>0</v>
      </c>
      <c r="Q23846">
        <v>0</v>
      </c>
      <c r="S23846">
        <v>0</v>
      </c>
    </row>
    <row r="23847" spans="1:19" x14ac:dyDescent="0.3">
      <c r="A23847" t="str">
        <f t="shared" si="37"/>
        <v>Marys CenterAll DCSFeb-25</v>
      </c>
      <c r="B23847" s="171" t="s">
        <v>46761</v>
      </c>
      <c r="C23847" s="171" t="s">
        <v>173</v>
      </c>
      <c r="D23847" s="171" t="s">
        <v>15341</v>
      </c>
      <c r="E23847" s="11">
        <v>45689</v>
      </c>
      <c r="F23847">
        <v>0</v>
      </c>
      <c r="G23847">
        <v>0</v>
      </c>
      <c r="I23847">
        <v>0</v>
      </c>
      <c r="J23847">
        <v>0</v>
      </c>
      <c r="L23847">
        <v>0</v>
      </c>
      <c r="N23847">
        <v>0</v>
      </c>
      <c r="P23847">
        <v>0</v>
      </c>
      <c r="Q23847">
        <v>0</v>
      </c>
      <c r="S23847">
        <v>0</v>
      </c>
    </row>
    <row r="23848" spans="1:19" x14ac:dyDescent="0.3">
      <c r="A23848" t="str">
        <f t="shared" si="37"/>
        <v>PIECEAll FFFeb-25</v>
      </c>
      <c r="B23848" s="171" t="s">
        <v>46762</v>
      </c>
      <c r="C23848" s="171" t="s">
        <v>200</v>
      </c>
      <c r="D23848" s="171" t="s">
        <v>80</v>
      </c>
      <c r="E23848" s="11">
        <v>45689</v>
      </c>
      <c r="F23848">
        <v>6</v>
      </c>
      <c r="G23848">
        <v>5.5</v>
      </c>
      <c r="I23848">
        <v>13</v>
      </c>
      <c r="J23848">
        <v>29</v>
      </c>
      <c r="L23848">
        <v>27</v>
      </c>
      <c r="N23848">
        <v>9</v>
      </c>
      <c r="P23848">
        <v>0</v>
      </c>
      <c r="Q23848">
        <v>0</v>
      </c>
      <c r="S23848">
        <v>4</v>
      </c>
    </row>
    <row r="23849" spans="1:19" x14ac:dyDescent="0.3">
      <c r="A23849" t="str">
        <f t="shared" si="37"/>
        <v>PIECEAll DCSFeb-25</v>
      </c>
      <c r="B23849" s="171" t="s">
        <v>46763</v>
      </c>
      <c r="C23849" s="171" t="s">
        <v>200</v>
      </c>
      <c r="D23849" s="171" t="s">
        <v>15341</v>
      </c>
      <c r="E23849" s="11">
        <v>45689</v>
      </c>
      <c r="F23849">
        <v>0</v>
      </c>
      <c r="G23849">
        <v>0</v>
      </c>
      <c r="I23849">
        <v>0</v>
      </c>
      <c r="J23849">
        <v>0</v>
      </c>
      <c r="L23849">
        <v>0</v>
      </c>
      <c r="N23849">
        <v>0</v>
      </c>
      <c r="P23849">
        <v>0</v>
      </c>
      <c r="Q23849">
        <v>0</v>
      </c>
      <c r="S23849">
        <v>0</v>
      </c>
    </row>
    <row r="23850" spans="1:19" x14ac:dyDescent="0.3">
      <c r="A23850" t="str">
        <f t="shared" si="37"/>
        <v>Adoptions TogetherAll CombinedFeb-25</v>
      </c>
      <c r="B23850" s="171" t="s">
        <v>46764</v>
      </c>
      <c r="C23850" s="171" t="s">
        <v>73</v>
      </c>
      <c r="D23850" s="171" t="s">
        <v>4</v>
      </c>
      <c r="E23850" s="11">
        <v>45689</v>
      </c>
      <c r="F23850">
        <v>0</v>
      </c>
      <c r="G23850">
        <v>0</v>
      </c>
      <c r="I23850">
        <v>0</v>
      </c>
      <c r="J23850">
        <v>0</v>
      </c>
      <c r="L23850">
        <v>0</v>
      </c>
      <c r="N23850">
        <v>0</v>
      </c>
      <c r="P23850">
        <v>0</v>
      </c>
      <c r="Q23850">
        <v>0</v>
      </c>
      <c r="S23850">
        <v>0</v>
      </c>
    </row>
    <row r="23851" spans="1:19" x14ac:dyDescent="0.3">
      <c r="A23851" t="str">
        <f t="shared" si="37"/>
        <v>Better MorningsAll CombinedFeb-25</v>
      </c>
      <c r="B23851" s="171" t="s">
        <v>46765</v>
      </c>
      <c r="C23851" s="171" t="s">
        <v>24891</v>
      </c>
      <c r="D23851" s="171" t="s">
        <v>4</v>
      </c>
      <c r="E23851" s="11">
        <v>45689</v>
      </c>
      <c r="F23851">
        <v>7</v>
      </c>
      <c r="G23851">
        <v>7</v>
      </c>
      <c r="I23851">
        <v>30</v>
      </c>
      <c r="J23851">
        <v>33</v>
      </c>
      <c r="L23851">
        <v>33</v>
      </c>
      <c r="N23851">
        <v>20</v>
      </c>
      <c r="P23851">
        <v>4</v>
      </c>
      <c r="Q23851">
        <v>6</v>
      </c>
      <c r="S23851">
        <v>10</v>
      </c>
    </row>
    <row r="23852" spans="1:19" x14ac:dyDescent="0.3">
      <c r="A23852" t="str">
        <f t="shared" si="37"/>
        <v>CatholicAll CombinedFeb-25</v>
      </c>
      <c r="B23852" s="171" t="s">
        <v>46766</v>
      </c>
      <c r="C23852" s="171" t="s">
        <v>18229</v>
      </c>
      <c r="D23852" s="171" t="s">
        <v>4</v>
      </c>
      <c r="E23852" s="11">
        <v>45689</v>
      </c>
      <c r="F23852">
        <v>0</v>
      </c>
      <c r="G23852">
        <v>0</v>
      </c>
      <c r="I23852">
        <v>0</v>
      </c>
      <c r="J23852">
        <v>0</v>
      </c>
      <c r="L23852">
        <v>0</v>
      </c>
      <c r="N23852">
        <v>0</v>
      </c>
      <c r="P23852">
        <v>0</v>
      </c>
      <c r="Q23852">
        <v>0</v>
      </c>
      <c r="S23852">
        <v>0</v>
      </c>
    </row>
    <row r="23853" spans="1:19" x14ac:dyDescent="0.3">
      <c r="A23853" t="str">
        <f t="shared" si="37"/>
        <v>Community ConnectionsAll CombinedFeb-25</v>
      </c>
      <c r="B23853" s="171" t="s">
        <v>46767</v>
      </c>
      <c r="C23853" s="171" t="s">
        <v>107</v>
      </c>
      <c r="D23853" s="171" t="s">
        <v>4</v>
      </c>
      <c r="E23853" s="11">
        <v>45689</v>
      </c>
      <c r="F23853">
        <v>0</v>
      </c>
      <c r="G23853">
        <v>0</v>
      </c>
      <c r="I23853">
        <v>0</v>
      </c>
      <c r="J23853">
        <v>0</v>
      </c>
      <c r="L23853">
        <v>0</v>
      </c>
      <c r="N23853">
        <v>0</v>
      </c>
      <c r="P23853">
        <v>0</v>
      </c>
      <c r="Q23853">
        <v>0</v>
      </c>
      <c r="S23853">
        <v>0</v>
      </c>
    </row>
    <row r="23854" spans="1:19" x14ac:dyDescent="0.3">
      <c r="A23854" t="str">
        <f t="shared" si="37"/>
        <v>ContemporaryAll CombinedFeb-25</v>
      </c>
      <c r="B23854" s="171" t="s">
        <v>46768</v>
      </c>
      <c r="C23854" s="171" t="s">
        <v>9887</v>
      </c>
      <c r="D23854" s="171" t="s">
        <v>4</v>
      </c>
      <c r="E23854" s="11">
        <v>45689</v>
      </c>
      <c r="F23854">
        <v>0</v>
      </c>
      <c r="G23854">
        <v>0</v>
      </c>
      <c r="I23854">
        <v>0</v>
      </c>
      <c r="J23854">
        <v>0</v>
      </c>
      <c r="L23854">
        <v>0</v>
      </c>
      <c r="N23854">
        <v>0</v>
      </c>
      <c r="P23854">
        <v>0</v>
      </c>
      <c r="Q23854">
        <v>0</v>
      </c>
      <c r="S23854">
        <v>0</v>
      </c>
    </row>
    <row r="23855" spans="1:19" x14ac:dyDescent="0.3">
      <c r="A23855" t="str">
        <f t="shared" si="37"/>
        <v>DBH Family SupportAll CombinedFeb-25</v>
      </c>
      <c r="B23855" s="171" t="s">
        <v>46769</v>
      </c>
      <c r="C23855" s="171" t="s">
        <v>35078</v>
      </c>
      <c r="D23855" s="171" t="s">
        <v>4</v>
      </c>
      <c r="E23855" s="11">
        <v>45689</v>
      </c>
      <c r="F23855">
        <v>0</v>
      </c>
      <c r="G23855">
        <v>0</v>
      </c>
      <c r="I23855">
        <v>0</v>
      </c>
      <c r="J23855">
        <v>0</v>
      </c>
      <c r="L23855">
        <v>0</v>
      </c>
      <c r="N23855">
        <v>0</v>
      </c>
      <c r="P23855">
        <v>0</v>
      </c>
      <c r="Q23855">
        <v>0</v>
      </c>
      <c r="S23855">
        <v>0</v>
      </c>
    </row>
    <row r="23856" spans="1:19" x14ac:dyDescent="0.3">
      <c r="A23856" t="str">
        <f t="shared" si="37"/>
        <v>Family MattersAll CombinedFeb-25</v>
      </c>
      <c r="B23856" s="171" t="s">
        <v>46770</v>
      </c>
      <c r="C23856" s="171" t="s">
        <v>11260</v>
      </c>
      <c r="D23856" s="171" t="s">
        <v>4</v>
      </c>
      <c r="E23856" s="11">
        <v>45689</v>
      </c>
      <c r="F23856">
        <v>0</v>
      </c>
      <c r="G23856">
        <v>0</v>
      </c>
      <c r="I23856">
        <v>0</v>
      </c>
      <c r="J23856">
        <v>0</v>
      </c>
      <c r="L23856">
        <v>0</v>
      </c>
      <c r="N23856">
        <v>0</v>
      </c>
      <c r="P23856">
        <v>0</v>
      </c>
      <c r="Q23856">
        <v>0</v>
      </c>
      <c r="S23856">
        <v>0</v>
      </c>
    </row>
    <row r="23857" spans="1:19" x14ac:dyDescent="0.3">
      <c r="A23857" t="str">
        <f t="shared" si="37"/>
        <v>Federal CityAll CombinedFeb-25</v>
      </c>
      <c r="B23857" s="171" t="s">
        <v>46771</v>
      </c>
      <c r="C23857" s="171" t="s">
        <v>122</v>
      </c>
      <c r="D23857" s="171" t="s">
        <v>4</v>
      </c>
      <c r="E23857" s="11">
        <v>45689</v>
      </c>
      <c r="F23857">
        <v>0</v>
      </c>
      <c r="G23857">
        <v>0</v>
      </c>
      <c r="I23857">
        <v>0</v>
      </c>
      <c r="J23857">
        <v>0</v>
      </c>
      <c r="L23857">
        <v>0</v>
      </c>
      <c r="N23857">
        <v>0</v>
      </c>
      <c r="P23857">
        <v>0</v>
      </c>
      <c r="Q23857">
        <v>0</v>
      </c>
      <c r="S23857">
        <v>0</v>
      </c>
    </row>
    <row r="23858" spans="1:19" x14ac:dyDescent="0.3">
      <c r="A23858" t="str">
        <f t="shared" si="37"/>
        <v>First Home CareAll CombinedFeb-25</v>
      </c>
      <c r="B23858" s="171" t="s">
        <v>46772</v>
      </c>
      <c r="C23858" s="171" t="s">
        <v>125</v>
      </c>
      <c r="D23858" s="171" t="s">
        <v>4</v>
      </c>
      <c r="E23858" s="11">
        <v>45689</v>
      </c>
      <c r="F23858">
        <v>0</v>
      </c>
      <c r="G23858">
        <v>0</v>
      </c>
      <c r="I23858">
        <v>0</v>
      </c>
      <c r="J23858">
        <v>0</v>
      </c>
      <c r="L23858">
        <v>0</v>
      </c>
      <c r="N23858">
        <v>0</v>
      </c>
      <c r="P23858">
        <v>0</v>
      </c>
      <c r="Q23858">
        <v>0</v>
      </c>
      <c r="S23858">
        <v>0</v>
      </c>
    </row>
    <row r="23859" spans="1:19" x14ac:dyDescent="0.3">
      <c r="A23859" t="str">
        <f t="shared" si="37"/>
        <v>Foundations for Home &amp; CommunityAll CombinedFeb-25</v>
      </c>
      <c r="B23859" s="171" t="s">
        <v>46773</v>
      </c>
      <c r="C23859" s="171" t="s">
        <v>14899</v>
      </c>
      <c r="D23859" s="171" t="s">
        <v>4</v>
      </c>
      <c r="E23859" s="11">
        <v>45689</v>
      </c>
      <c r="F23859">
        <v>0</v>
      </c>
      <c r="G23859">
        <v>0</v>
      </c>
      <c r="I23859">
        <v>0</v>
      </c>
      <c r="J23859">
        <v>0</v>
      </c>
      <c r="L23859">
        <v>0</v>
      </c>
      <c r="N23859">
        <v>0</v>
      </c>
      <c r="P23859">
        <v>0</v>
      </c>
      <c r="Q23859">
        <v>0</v>
      </c>
      <c r="S23859">
        <v>0</v>
      </c>
    </row>
    <row r="23860" spans="1:19" x14ac:dyDescent="0.3">
      <c r="A23860" t="str">
        <f t="shared" si="37"/>
        <v>FPSAll CombinedFeb-25</v>
      </c>
      <c r="B23860" s="171" t="s">
        <v>46774</v>
      </c>
      <c r="C23860" s="171" t="s">
        <v>137</v>
      </c>
      <c r="D23860" s="171" t="s">
        <v>4</v>
      </c>
      <c r="E23860" s="11">
        <v>45689</v>
      </c>
      <c r="F23860">
        <v>0</v>
      </c>
      <c r="G23860">
        <v>0</v>
      </c>
      <c r="I23860">
        <v>0</v>
      </c>
      <c r="J23860">
        <v>0</v>
      </c>
      <c r="L23860">
        <v>0</v>
      </c>
      <c r="N23860">
        <v>0</v>
      </c>
      <c r="P23860">
        <v>0</v>
      </c>
      <c r="Q23860">
        <v>0</v>
      </c>
      <c r="S23860">
        <v>0</v>
      </c>
    </row>
    <row r="23861" spans="1:19" x14ac:dyDescent="0.3">
      <c r="A23861" t="str">
        <f t="shared" si="37"/>
        <v>Green DoorAll CombinedFeb-25</v>
      </c>
      <c r="B23861" s="171" t="s">
        <v>46775</v>
      </c>
      <c r="C23861" s="171" t="s">
        <v>8615</v>
      </c>
      <c r="D23861" s="171" t="s">
        <v>4</v>
      </c>
      <c r="E23861" s="11">
        <v>45689</v>
      </c>
      <c r="F23861">
        <v>0</v>
      </c>
      <c r="G23861">
        <v>0</v>
      </c>
      <c r="I23861">
        <v>0</v>
      </c>
      <c r="J23861">
        <v>0</v>
      </c>
      <c r="L23861">
        <v>0</v>
      </c>
      <c r="N23861">
        <v>0</v>
      </c>
      <c r="P23861">
        <v>0</v>
      </c>
      <c r="Q23861">
        <v>0</v>
      </c>
      <c r="S23861">
        <v>0</v>
      </c>
    </row>
    <row r="23862" spans="1:19" x14ac:dyDescent="0.3">
      <c r="A23862" t="str">
        <f t="shared" si="37"/>
        <v>Healthy FuturesAll CombinedFeb-25</v>
      </c>
      <c r="B23862" s="171" t="s">
        <v>46776</v>
      </c>
      <c r="C23862" s="171" t="s">
        <v>35025</v>
      </c>
      <c r="D23862" s="171" t="s">
        <v>4</v>
      </c>
      <c r="E23862" s="11">
        <v>45689</v>
      </c>
      <c r="F23862">
        <v>0</v>
      </c>
      <c r="G23862">
        <v>0</v>
      </c>
      <c r="I23862">
        <v>0</v>
      </c>
      <c r="J23862">
        <v>0</v>
      </c>
      <c r="L23862">
        <v>0</v>
      </c>
      <c r="N23862">
        <v>0</v>
      </c>
      <c r="P23862">
        <v>0</v>
      </c>
      <c r="Q23862">
        <v>0</v>
      </c>
      <c r="S23862">
        <v>0</v>
      </c>
    </row>
    <row r="23863" spans="1:19" x14ac:dyDescent="0.3">
      <c r="A23863" t="str">
        <f t="shared" si="37"/>
        <v>HillcrestAll CombinedFeb-25</v>
      </c>
      <c r="B23863" s="171" t="s">
        <v>46777</v>
      </c>
      <c r="C23863" s="171" t="s">
        <v>146</v>
      </c>
      <c r="D23863" s="171" t="s">
        <v>4</v>
      </c>
      <c r="E23863" s="11">
        <v>45689</v>
      </c>
      <c r="F23863">
        <v>9.5</v>
      </c>
      <c r="G23863">
        <v>11.5</v>
      </c>
      <c r="I23863">
        <v>43</v>
      </c>
      <c r="J23863">
        <v>49</v>
      </c>
      <c r="L23863">
        <v>55</v>
      </c>
      <c r="N23863">
        <v>29</v>
      </c>
      <c r="P23863">
        <v>1</v>
      </c>
      <c r="Q23863">
        <v>1</v>
      </c>
      <c r="S23863">
        <v>14</v>
      </c>
    </row>
    <row r="23864" spans="1:19" x14ac:dyDescent="0.3">
      <c r="A23864" t="str">
        <f t="shared" si="37"/>
        <v>LAYCAll CombinedFeb-25</v>
      </c>
      <c r="B23864" s="171" t="s">
        <v>46778</v>
      </c>
      <c r="C23864" s="171" t="s">
        <v>161</v>
      </c>
      <c r="D23864" s="171" t="s">
        <v>4</v>
      </c>
      <c r="E23864" s="11">
        <v>45689</v>
      </c>
      <c r="F23864">
        <v>2.5</v>
      </c>
      <c r="G23864">
        <v>3.5</v>
      </c>
      <c r="I23864">
        <v>7</v>
      </c>
      <c r="J23864">
        <v>15</v>
      </c>
      <c r="L23864">
        <v>21</v>
      </c>
      <c r="N23864">
        <v>7</v>
      </c>
      <c r="P23864">
        <v>3</v>
      </c>
      <c r="Q23864">
        <v>4</v>
      </c>
      <c r="S23864">
        <v>0</v>
      </c>
    </row>
    <row r="23865" spans="1:19" x14ac:dyDescent="0.3">
      <c r="A23865" t="str">
        <f t="shared" si="37"/>
        <v>LCSAll CombinedFeb-25</v>
      </c>
      <c r="B23865" s="171" t="s">
        <v>46779</v>
      </c>
      <c r="C23865" s="171" t="s">
        <v>18252</v>
      </c>
      <c r="D23865" s="171" t="s">
        <v>4</v>
      </c>
      <c r="E23865" s="11">
        <v>45689</v>
      </c>
      <c r="F23865">
        <v>0</v>
      </c>
      <c r="G23865">
        <v>0</v>
      </c>
      <c r="I23865">
        <v>0</v>
      </c>
      <c r="J23865">
        <v>0</v>
      </c>
      <c r="L23865">
        <v>0</v>
      </c>
      <c r="N23865">
        <v>0</v>
      </c>
      <c r="P23865">
        <v>0</v>
      </c>
      <c r="Q23865">
        <v>0</v>
      </c>
      <c r="S23865">
        <v>0</v>
      </c>
    </row>
    <row r="23866" spans="1:19" x14ac:dyDescent="0.3">
      <c r="A23866" t="str">
        <f t="shared" si="37"/>
        <v>LESAll CombinedFeb-25</v>
      </c>
      <c r="B23866" s="171" t="s">
        <v>46780</v>
      </c>
      <c r="C23866" s="171" t="s">
        <v>167</v>
      </c>
      <c r="D23866" s="171" t="s">
        <v>4</v>
      </c>
      <c r="E23866" s="11">
        <v>45689</v>
      </c>
      <c r="F23866">
        <v>2.5</v>
      </c>
      <c r="G23866">
        <v>2.5</v>
      </c>
      <c r="I23866">
        <v>11</v>
      </c>
      <c r="J23866">
        <v>35</v>
      </c>
      <c r="L23866">
        <v>35</v>
      </c>
      <c r="N23866">
        <v>11</v>
      </c>
      <c r="P23866">
        <v>0</v>
      </c>
      <c r="Q23866">
        <v>0</v>
      </c>
      <c r="S23866">
        <v>0</v>
      </c>
    </row>
    <row r="23867" spans="1:19" x14ac:dyDescent="0.3">
      <c r="A23867" t="str">
        <f t="shared" si="37"/>
        <v>Marys CenterAll CombinedFeb-25</v>
      </c>
      <c r="B23867" s="171" t="s">
        <v>46781</v>
      </c>
      <c r="C23867" s="171" t="s">
        <v>173</v>
      </c>
      <c r="D23867" s="171" t="s">
        <v>4</v>
      </c>
      <c r="E23867" s="11">
        <v>45689</v>
      </c>
      <c r="F23867">
        <v>4</v>
      </c>
      <c r="G23867">
        <v>6.5</v>
      </c>
      <c r="I23867">
        <v>7</v>
      </c>
      <c r="J23867">
        <v>23</v>
      </c>
      <c r="L23867">
        <v>37</v>
      </c>
      <c r="N23867">
        <v>7</v>
      </c>
      <c r="P23867">
        <v>0</v>
      </c>
      <c r="Q23867">
        <v>1</v>
      </c>
      <c r="S23867">
        <v>0</v>
      </c>
    </row>
    <row r="23868" spans="1:19" x14ac:dyDescent="0.3">
      <c r="A23868" t="str">
        <f t="shared" si="37"/>
        <v>MBI HSAll CombinedFeb-25</v>
      </c>
      <c r="B23868" s="171" t="s">
        <v>46782</v>
      </c>
      <c r="C23868" s="171" t="s">
        <v>179</v>
      </c>
      <c r="D23868" s="171" t="s">
        <v>4</v>
      </c>
      <c r="E23868" s="11">
        <v>45689</v>
      </c>
      <c r="F23868">
        <v>10</v>
      </c>
      <c r="G23868">
        <v>15</v>
      </c>
      <c r="I23868">
        <v>52</v>
      </c>
      <c r="J23868">
        <v>93</v>
      </c>
      <c r="L23868">
        <v>130</v>
      </c>
      <c r="N23868">
        <v>47</v>
      </c>
      <c r="P23868">
        <v>0</v>
      </c>
      <c r="Q23868">
        <v>0</v>
      </c>
      <c r="S23868">
        <v>5</v>
      </c>
    </row>
    <row r="23869" spans="1:19" x14ac:dyDescent="0.3">
      <c r="A23869" t="str">
        <f t="shared" si="37"/>
        <v>MD Family ResourcesAll CombinedFeb-25</v>
      </c>
      <c r="B23869" s="171" t="s">
        <v>46783</v>
      </c>
      <c r="C23869" s="171" t="s">
        <v>185</v>
      </c>
      <c r="D23869" s="171" t="s">
        <v>4</v>
      </c>
      <c r="E23869" s="11">
        <v>45689</v>
      </c>
      <c r="F23869">
        <v>2</v>
      </c>
      <c r="G23869">
        <v>8.5</v>
      </c>
      <c r="I23869">
        <v>4</v>
      </c>
      <c r="J23869">
        <v>11</v>
      </c>
      <c r="L23869">
        <v>42</v>
      </c>
      <c r="N23869">
        <v>4</v>
      </c>
      <c r="P23869">
        <v>0</v>
      </c>
      <c r="Q23869">
        <v>0</v>
      </c>
      <c r="S23869">
        <v>0</v>
      </c>
    </row>
    <row r="23870" spans="1:19" x14ac:dyDescent="0.3">
      <c r="A23870" t="str">
        <f t="shared" si="37"/>
        <v>Medstar GeorgetownAll CombinedFeb-25</v>
      </c>
      <c r="B23870" s="171" t="s">
        <v>46784</v>
      </c>
      <c r="C23870" s="171" t="s">
        <v>24508</v>
      </c>
      <c r="D23870" s="171" t="s">
        <v>4</v>
      </c>
      <c r="E23870" s="11">
        <v>45689</v>
      </c>
      <c r="F23870">
        <v>0</v>
      </c>
      <c r="G23870">
        <v>0</v>
      </c>
      <c r="I23870">
        <v>0</v>
      </c>
      <c r="J23870">
        <v>0</v>
      </c>
      <c r="L23870">
        <v>0</v>
      </c>
      <c r="N23870">
        <v>0</v>
      </c>
      <c r="P23870">
        <v>0</v>
      </c>
      <c r="Q23870">
        <v>0</v>
      </c>
      <c r="S23870">
        <v>0</v>
      </c>
    </row>
    <row r="23871" spans="1:19" x14ac:dyDescent="0.3">
      <c r="A23871" t="str">
        <f t="shared" si="37"/>
        <v>PASSAll CombinedFeb-25</v>
      </c>
      <c r="B23871" s="171" t="s">
        <v>46785</v>
      </c>
      <c r="C23871" s="171" t="s">
        <v>191</v>
      </c>
      <c r="D23871" s="171" t="s">
        <v>4</v>
      </c>
      <c r="E23871" s="11">
        <v>45689</v>
      </c>
      <c r="F23871">
        <v>9</v>
      </c>
      <c r="G23871">
        <v>13</v>
      </c>
      <c r="I23871">
        <v>104</v>
      </c>
      <c r="J23871">
        <v>82</v>
      </c>
      <c r="L23871">
        <v>107</v>
      </c>
      <c r="N23871">
        <v>93</v>
      </c>
      <c r="P23871">
        <v>5</v>
      </c>
      <c r="Q23871">
        <v>10</v>
      </c>
      <c r="S23871">
        <v>11</v>
      </c>
    </row>
    <row r="23872" spans="1:19" x14ac:dyDescent="0.3">
      <c r="A23872" t="str">
        <f t="shared" si="37"/>
        <v>PIECEAll CombinedFeb-25</v>
      </c>
      <c r="B23872" s="171" t="s">
        <v>46786</v>
      </c>
      <c r="C23872" s="171" t="s">
        <v>200</v>
      </c>
      <c r="D23872" s="171" t="s">
        <v>4</v>
      </c>
      <c r="E23872" s="11">
        <v>45689</v>
      </c>
      <c r="F23872">
        <v>6</v>
      </c>
      <c r="G23872">
        <v>5.5</v>
      </c>
      <c r="I23872">
        <v>13</v>
      </c>
      <c r="J23872">
        <v>29</v>
      </c>
      <c r="L23872">
        <v>27</v>
      </c>
      <c r="N23872">
        <v>9</v>
      </c>
      <c r="P23872">
        <v>0</v>
      </c>
      <c r="Q23872">
        <v>0</v>
      </c>
      <c r="S23872">
        <v>4</v>
      </c>
    </row>
    <row r="23873" spans="1:19" x14ac:dyDescent="0.3">
      <c r="A23873" t="str">
        <f t="shared" si="37"/>
        <v>RiversideAll CombinedFeb-25</v>
      </c>
      <c r="B23873" s="171" t="s">
        <v>46787</v>
      </c>
      <c r="C23873" s="171" t="s">
        <v>212</v>
      </c>
      <c r="D23873" s="171" t="s">
        <v>4</v>
      </c>
      <c r="E23873" s="11">
        <v>45689</v>
      </c>
      <c r="F23873">
        <v>0</v>
      </c>
      <c r="G23873">
        <v>0</v>
      </c>
      <c r="I23873">
        <v>0</v>
      </c>
      <c r="J23873">
        <v>0</v>
      </c>
      <c r="L23873">
        <v>0</v>
      </c>
      <c r="N23873">
        <v>0</v>
      </c>
      <c r="P23873">
        <v>0</v>
      </c>
      <c r="Q23873">
        <v>0</v>
      </c>
      <c r="S23873">
        <v>0</v>
      </c>
    </row>
    <row r="23874" spans="1:19" x14ac:dyDescent="0.3">
      <c r="A23874" t="str">
        <f t="shared" si="37"/>
        <v>TFCCAll CombinedFeb-25</v>
      </c>
      <c r="B23874" s="171" t="s">
        <v>46788</v>
      </c>
      <c r="C23874" s="171" t="s">
        <v>215</v>
      </c>
      <c r="D23874" s="171" t="s">
        <v>4</v>
      </c>
      <c r="E23874" s="11">
        <v>45689</v>
      </c>
      <c r="F23874">
        <v>0</v>
      </c>
      <c r="G23874">
        <v>0</v>
      </c>
      <c r="I23874">
        <v>0</v>
      </c>
      <c r="J23874">
        <v>0</v>
      </c>
      <c r="L23874">
        <v>0</v>
      </c>
      <c r="N23874">
        <v>0</v>
      </c>
      <c r="P23874">
        <v>0</v>
      </c>
      <c r="Q23874">
        <v>0</v>
      </c>
      <c r="S23874">
        <v>0</v>
      </c>
    </row>
    <row r="23875" spans="1:19" x14ac:dyDescent="0.3">
      <c r="A23875" t="str">
        <f t="shared" si="37"/>
        <v>UmbrellaAll CombinedFeb-25</v>
      </c>
      <c r="B23875" s="171" t="s">
        <v>46789</v>
      </c>
      <c r="C23875" s="171" t="s">
        <v>35119</v>
      </c>
      <c r="D23875" s="171" t="s">
        <v>4</v>
      </c>
      <c r="E23875" s="11">
        <v>45689</v>
      </c>
      <c r="F23875">
        <v>8</v>
      </c>
      <c r="G23875">
        <v>8</v>
      </c>
      <c r="I23875">
        <v>34</v>
      </c>
      <c r="J23875">
        <v>74</v>
      </c>
      <c r="L23875">
        <v>74</v>
      </c>
      <c r="N23875">
        <v>34</v>
      </c>
      <c r="P23875">
        <v>0</v>
      </c>
      <c r="Q23875">
        <v>1</v>
      </c>
      <c r="S23875">
        <v>0</v>
      </c>
    </row>
    <row r="23876" spans="1:19" x14ac:dyDescent="0.3">
      <c r="A23876" t="str">
        <f t="shared" si="37"/>
        <v>UniversalAll CombinedFeb-25</v>
      </c>
      <c r="B23876" s="171" t="s">
        <v>46790</v>
      </c>
      <c r="C23876" s="171" t="s">
        <v>221</v>
      </c>
      <c r="D23876" s="171" t="s">
        <v>4</v>
      </c>
      <c r="E23876" s="11">
        <v>45689</v>
      </c>
      <c r="F23876">
        <v>0</v>
      </c>
      <c r="G23876">
        <v>0</v>
      </c>
      <c r="I23876">
        <v>0</v>
      </c>
      <c r="J23876">
        <v>0</v>
      </c>
      <c r="L23876">
        <v>0</v>
      </c>
      <c r="N23876">
        <v>0</v>
      </c>
      <c r="P23876">
        <v>0</v>
      </c>
      <c r="Q23876">
        <v>0</v>
      </c>
      <c r="S23876">
        <v>0</v>
      </c>
    </row>
    <row r="23877" spans="1:19" x14ac:dyDescent="0.3">
      <c r="A23877" t="str">
        <f t="shared" ref="A23877:A23912" si="38">C23877&amp;" "&amp;D23877&amp;"Feb-25"</f>
        <v>Wayne PlaceAll CombinedFeb-25</v>
      </c>
      <c r="B23877" s="171" t="s">
        <v>46791</v>
      </c>
      <c r="C23877" s="171" t="s">
        <v>8233</v>
      </c>
      <c r="D23877" s="171" t="s">
        <v>4</v>
      </c>
      <c r="E23877" s="11">
        <v>45689</v>
      </c>
      <c r="F23877">
        <v>2</v>
      </c>
      <c r="G23877">
        <v>3</v>
      </c>
      <c r="I23877">
        <v>8</v>
      </c>
      <c r="J23877">
        <v>22</v>
      </c>
      <c r="L23877">
        <v>33</v>
      </c>
      <c r="N23877">
        <v>6</v>
      </c>
      <c r="P23877">
        <v>0</v>
      </c>
      <c r="Q23877">
        <v>1</v>
      </c>
      <c r="S23877">
        <v>2</v>
      </c>
    </row>
    <row r="23878" spans="1:19" x14ac:dyDescent="0.3">
      <c r="A23878" t="str">
        <f t="shared" si="38"/>
        <v>Youth VillagesAll CombinedFeb-25</v>
      </c>
      <c r="B23878" s="171" t="s">
        <v>46792</v>
      </c>
      <c r="C23878" s="171" t="s">
        <v>233</v>
      </c>
      <c r="D23878" s="171" t="s">
        <v>4</v>
      </c>
      <c r="E23878" s="11">
        <v>45689</v>
      </c>
      <c r="F23878">
        <v>0</v>
      </c>
      <c r="G23878">
        <v>0</v>
      </c>
      <c r="I23878">
        <v>0</v>
      </c>
      <c r="J23878">
        <v>0</v>
      </c>
      <c r="L23878">
        <v>0</v>
      </c>
      <c r="N23878">
        <v>0</v>
      </c>
      <c r="P23878">
        <v>0</v>
      </c>
      <c r="Q23878">
        <v>0</v>
      </c>
      <c r="S23878">
        <v>0</v>
      </c>
    </row>
    <row r="23879" spans="1:19" x14ac:dyDescent="0.3">
      <c r="A23879" t="str">
        <f t="shared" si="38"/>
        <v>All ABC ProvidersABC FFFeb-25</v>
      </c>
      <c r="B23879" s="171" t="s">
        <v>46793</v>
      </c>
      <c r="C23879" s="171" t="s">
        <v>35128</v>
      </c>
      <c r="D23879" s="171" t="s">
        <v>80</v>
      </c>
      <c r="E23879" s="11">
        <v>45689</v>
      </c>
      <c r="F23879">
        <v>0</v>
      </c>
      <c r="G23879">
        <v>0</v>
      </c>
      <c r="I23879">
        <v>0</v>
      </c>
      <c r="J23879">
        <v>0</v>
      </c>
      <c r="L23879">
        <v>0</v>
      </c>
      <c r="N23879">
        <v>0</v>
      </c>
      <c r="P23879">
        <v>0</v>
      </c>
      <c r="Q23879">
        <v>0</v>
      </c>
      <c r="S23879">
        <v>0</v>
      </c>
    </row>
    <row r="23880" spans="1:19" x14ac:dyDescent="0.3">
      <c r="A23880" t="str">
        <f t="shared" si="38"/>
        <v>All ABC ProvidersABC CombinedFeb-25</v>
      </c>
      <c r="B23880" s="171" t="s">
        <v>46794</v>
      </c>
      <c r="C23880" s="171" t="s">
        <v>35128</v>
      </c>
      <c r="D23880" s="171" t="s">
        <v>4</v>
      </c>
      <c r="E23880" s="11">
        <v>45689</v>
      </c>
      <c r="F23880">
        <v>0</v>
      </c>
      <c r="G23880">
        <v>0</v>
      </c>
      <c r="I23880">
        <v>0</v>
      </c>
      <c r="J23880">
        <v>0</v>
      </c>
      <c r="L23880">
        <v>0</v>
      </c>
      <c r="N23880">
        <v>0</v>
      </c>
      <c r="P23880">
        <v>0</v>
      </c>
      <c r="Q23880">
        <v>0</v>
      </c>
      <c r="S23880">
        <v>0</v>
      </c>
    </row>
    <row r="23881" spans="1:19" x14ac:dyDescent="0.3">
      <c r="A23881" t="str">
        <f t="shared" si="38"/>
        <v>All A-CRA ProvidersA-CRA FFFeb-25</v>
      </c>
      <c r="B23881" s="171" t="s">
        <v>46795</v>
      </c>
      <c r="C23881" s="171" t="s">
        <v>79</v>
      </c>
      <c r="D23881" s="171" t="s">
        <v>80</v>
      </c>
      <c r="E23881" s="11">
        <v>45689</v>
      </c>
      <c r="F23881">
        <v>0</v>
      </c>
      <c r="G23881">
        <v>0</v>
      </c>
      <c r="I23881">
        <v>0</v>
      </c>
      <c r="J23881">
        <v>0</v>
      </c>
      <c r="L23881">
        <v>0</v>
      </c>
      <c r="N23881">
        <v>0</v>
      </c>
      <c r="P23881">
        <v>0</v>
      </c>
      <c r="Q23881">
        <v>0</v>
      </c>
      <c r="S23881">
        <v>0</v>
      </c>
    </row>
    <row r="23882" spans="1:19" x14ac:dyDescent="0.3">
      <c r="A23882" t="str">
        <f t="shared" si="38"/>
        <v>All A-CRA ProvidersA-CRA CombinedFeb-25</v>
      </c>
      <c r="B23882" s="171" t="s">
        <v>46796</v>
      </c>
      <c r="C23882" s="171" t="s">
        <v>79</v>
      </c>
      <c r="D23882" s="171" t="s">
        <v>4</v>
      </c>
      <c r="E23882" s="11">
        <v>45689</v>
      </c>
      <c r="F23882">
        <v>0</v>
      </c>
      <c r="G23882">
        <v>0</v>
      </c>
      <c r="I23882">
        <v>0</v>
      </c>
      <c r="J23882">
        <v>0</v>
      </c>
      <c r="L23882">
        <v>0</v>
      </c>
      <c r="N23882">
        <v>0</v>
      </c>
      <c r="P23882">
        <v>0</v>
      </c>
      <c r="Q23882">
        <v>0</v>
      </c>
      <c r="S23882">
        <v>0</v>
      </c>
    </row>
    <row r="23883" spans="1:19" x14ac:dyDescent="0.3">
      <c r="A23883" t="str">
        <f t="shared" si="38"/>
        <v>All CPP-FV ProvidersCPP-FV FFFeb-25</v>
      </c>
      <c r="B23883" s="171" t="s">
        <v>46797</v>
      </c>
      <c r="C23883" s="171" t="s">
        <v>83</v>
      </c>
      <c r="D23883" s="171" t="s">
        <v>80</v>
      </c>
      <c r="E23883" s="11">
        <v>45689</v>
      </c>
      <c r="F23883">
        <v>4.5</v>
      </c>
      <c r="G23883">
        <v>5</v>
      </c>
      <c r="I23883">
        <v>10</v>
      </c>
      <c r="J23883">
        <v>24</v>
      </c>
      <c r="L23883">
        <v>28</v>
      </c>
      <c r="N23883">
        <v>10</v>
      </c>
      <c r="P23883">
        <v>0</v>
      </c>
      <c r="Q23883">
        <v>1</v>
      </c>
      <c r="S23883">
        <v>0</v>
      </c>
    </row>
    <row r="23884" spans="1:19" x14ac:dyDescent="0.3">
      <c r="A23884" t="str">
        <f t="shared" si="38"/>
        <v>All CPP-FV ProvidersCPP-FV DCSFeb-25</v>
      </c>
      <c r="B23884" s="171" t="s">
        <v>46798</v>
      </c>
      <c r="C23884" s="171" t="s">
        <v>83</v>
      </c>
      <c r="D23884" s="171" t="s">
        <v>15341</v>
      </c>
      <c r="E23884" s="11">
        <v>45689</v>
      </c>
      <c r="F23884">
        <v>0</v>
      </c>
      <c r="G23884">
        <v>0</v>
      </c>
      <c r="I23884">
        <v>0</v>
      </c>
      <c r="J23884">
        <v>0</v>
      </c>
      <c r="L23884">
        <v>0</v>
      </c>
      <c r="N23884">
        <v>0</v>
      </c>
      <c r="P23884">
        <v>0</v>
      </c>
      <c r="Q23884">
        <v>0</v>
      </c>
      <c r="S23884">
        <v>0</v>
      </c>
    </row>
    <row r="23885" spans="1:19" x14ac:dyDescent="0.3">
      <c r="A23885" t="str">
        <f t="shared" si="38"/>
        <v>All CPP-FV ProvidersCPP-FV CombinedFeb-25</v>
      </c>
      <c r="B23885" s="171" t="s">
        <v>46799</v>
      </c>
      <c r="C23885" s="171" t="s">
        <v>83</v>
      </c>
      <c r="D23885" s="171" t="s">
        <v>4</v>
      </c>
      <c r="E23885" s="11">
        <v>45689</v>
      </c>
      <c r="F23885">
        <v>4.5</v>
      </c>
      <c r="G23885">
        <v>5</v>
      </c>
      <c r="I23885">
        <v>10</v>
      </c>
      <c r="J23885">
        <v>24</v>
      </c>
      <c r="L23885">
        <v>28</v>
      </c>
      <c r="N23885">
        <v>10</v>
      </c>
      <c r="P23885">
        <v>0</v>
      </c>
      <c r="Q23885">
        <v>1</v>
      </c>
      <c r="S23885">
        <v>0</v>
      </c>
    </row>
    <row r="23886" spans="1:19" x14ac:dyDescent="0.3">
      <c r="A23886" t="str">
        <f t="shared" si="38"/>
        <v>All FFT ProvidersFFT FFFeb-25</v>
      </c>
      <c r="B23886" s="171" t="s">
        <v>46800</v>
      </c>
      <c r="C23886" s="171" t="s">
        <v>86</v>
      </c>
      <c r="D23886" s="171" t="s">
        <v>80</v>
      </c>
      <c r="E23886" s="11">
        <v>45689</v>
      </c>
      <c r="F23886">
        <v>5</v>
      </c>
      <c r="G23886">
        <v>8</v>
      </c>
      <c r="I23886">
        <v>21</v>
      </c>
      <c r="J23886">
        <v>29</v>
      </c>
      <c r="L23886">
        <v>44</v>
      </c>
      <c r="N23886">
        <v>16</v>
      </c>
      <c r="P23886">
        <v>2</v>
      </c>
      <c r="Q23886">
        <v>6</v>
      </c>
      <c r="S23886">
        <v>5</v>
      </c>
    </row>
    <row r="23887" spans="1:19" x14ac:dyDescent="0.3">
      <c r="A23887" t="str">
        <f t="shared" si="38"/>
        <v>All FFT ProvidersFFT CombinedFeb-25</v>
      </c>
      <c r="B23887" s="171" t="s">
        <v>46801</v>
      </c>
      <c r="C23887" s="171" t="s">
        <v>86</v>
      </c>
      <c r="D23887" s="171" t="s">
        <v>4</v>
      </c>
      <c r="E23887" s="11">
        <v>45689</v>
      </c>
      <c r="F23887">
        <v>5</v>
      </c>
      <c r="G23887">
        <v>8</v>
      </c>
      <c r="I23887">
        <v>21</v>
      </c>
      <c r="J23887">
        <v>29</v>
      </c>
      <c r="L23887">
        <v>44</v>
      </c>
      <c r="N23887">
        <v>16</v>
      </c>
      <c r="P23887">
        <v>2</v>
      </c>
      <c r="Q23887">
        <v>6</v>
      </c>
      <c r="S23887">
        <v>5</v>
      </c>
    </row>
    <row r="23888" spans="1:19" x14ac:dyDescent="0.3">
      <c r="A23888" t="str">
        <f t="shared" si="38"/>
        <v>All IHCBS ProvidersIHCBS FFFeb-25</v>
      </c>
      <c r="B23888" s="171" t="s">
        <v>46802</v>
      </c>
      <c r="C23888" s="171" t="s">
        <v>40284</v>
      </c>
      <c r="D23888" s="171" t="s">
        <v>80</v>
      </c>
      <c r="E23888" s="11">
        <v>45689</v>
      </c>
      <c r="F23888">
        <v>11</v>
      </c>
      <c r="G23888">
        <v>16</v>
      </c>
      <c r="I23888">
        <v>48</v>
      </c>
      <c r="J23888">
        <v>44</v>
      </c>
      <c r="L23888">
        <v>64</v>
      </c>
      <c r="N23888">
        <v>37</v>
      </c>
      <c r="P23888">
        <v>3</v>
      </c>
      <c r="Q23888">
        <v>3</v>
      </c>
      <c r="S23888">
        <v>11</v>
      </c>
    </row>
    <row r="23889" spans="1:19" x14ac:dyDescent="0.3">
      <c r="A23889" t="str">
        <f t="shared" si="38"/>
        <v>All IHCBS ProvidersIHCBS CombinedFeb-25</v>
      </c>
      <c r="B23889" s="171" t="s">
        <v>46803</v>
      </c>
      <c r="C23889" s="171" t="s">
        <v>40284</v>
      </c>
      <c r="D23889" s="171" t="s">
        <v>4</v>
      </c>
      <c r="E23889" s="11">
        <v>45689</v>
      </c>
      <c r="F23889">
        <v>11</v>
      </c>
      <c r="G23889">
        <v>16</v>
      </c>
      <c r="I23889">
        <v>48</v>
      </c>
      <c r="J23889">
        <v>44</v>
      </c>
      <c r="L23889">
        <v>64</v>
      </c>
      <c r="N23889">
        <v>37</v>
      </c>
      <c r="P23889">
        <v>3</v>
      </c>
      <c r="Q23889">
        <v>3</v>
      </c>
      <c r="S23889">
        <v>11</v>
      </c>
    </row>
    <row r="23890" spans="1:19" x14ac:dyDescent="0.3">
      <c r="A23890" t="str">
        <f t="shared" si="38"/>
        <v>All MST ProvidersMST FFFeb-25</v>
      </c>
      <c r="B23890" s="171" t="s">
        <v>46804</v>
      </c>
      <c r="C23890" s="171" t="s">
        <v>89</v>
      </c>
      <c r="D23890" s="171" t="s">
        <v>80</v>
      </c>
      <c r="E23890" s="11">
        <v>45689</v>
      </c>
      <c r="F23890">
        <v>1</v>
      </c>
      <c r="G23890">
        <v>4</v>
      </c>
      <c r="I23890">
        <v>6</v>
      </c>
      <c r="J23890">
        <v>5</v>
      </c>
      <c r="L23890">
        <v>20</v>
      </c>
      <c r="N23890">
        <v>3</v>
      </c>
      <c r="P23890">
        <v>0</v>
      </c>
      <c r="Q23890">
        <v>0</v>
      </c>
      <c r="S23890">
        <v>3</v>
      </c>
    </row>
    <row r="23891" spans="1:19" x14ac:dyDescent="0.3">
      <c r="A23891" t="str">
        <f t="shared" si="38"/>
        <v>All MST ProvidersMST CombinedFeb-25</v>
      </c>
      <c r="B23891" s="171" t="s">
        <v>46805</v>
      </c>
      <c r="C23891" s="171" t="s">
        <v>89</v>
      </c>
      <c r="D23891" s="171" t="s">
        <v>4</v>
      </c>
      <c r="E23891" s="11">
        <v>45689</v>
      </c>
      <c r="F23891">
        <v>1</v>
      </c>
      <c r="G23891">
        <v>4</v>
      </c>
      <c r="I23891">
        <v>6</v>
      </c>
      <c r="J23891">
        <v>5</v>
      </c>
      <c r="L23891">
        <v>20</v>
      </c>
      <c r="N23891">
        <v>3</v>
      </c>
      <c r="P23891">
        <v>0</v>
      </c>
      <c r="Q23891">
        <v>0</v>
      </c>
      <c r="S23891">
        <v>3</v>
      </c>
    </row>
    <row r="23892" spans="1:19" x14ac:dyDescent="0.3">
      <c r="A23892" t="str">
        <f t="shared" si="38"/>
        <v>All MST-PSB ProvidersMST-PSB FFFeb-25</v>
      </c>
      <c r="B23892" s="171" t="s">
        <v>46806</v>
      </c>
      <c r="C23892" s="171" t="s">
        <v>92</v>
      </c>
      <c r="D23892" s="171" t="s">
        <v>80</v>
      </c>
      <c r="E23892" s="11">
        <v>45689</v>
      </c>
      <c r="F23892">
        <v>0</v>
      </c>
      <c r="G23892">
        <v>0</v>
      </c>
      <c r="I23892">
        <v>0</v>
      </c>
      <c r="J23892">
        <v>0</v>
      </c>
      <c r="L23892">
        <v>0</v>
      </c>
      <c r="N23892">
        <v>0</v>
      </c>
      <c r="P23892">
        <v>0</v>
      </c>
      <c r="Q23892">
        <v>0</v>
      </c>
      <c r="S23892">
        <v>0</v>
      </c>
    </row>
    <row r="23893" spans="1:19" x14ac:dyDescent="0.3">
      <c r="A23893" t="str">
        <f t="shared" si="38"/>
        <v>All MST-PSB ProvidersMST-PSB CombinedFeb-25</v>
      </c>
      <c r="B23893" s="171" t="s">
        <v>46807</v>
      </c>
      <c r="C23893" s="171" t="s">
        <v>92</v>
      </c>
      <c r="D23893" s="171" t="s">
        <v>4</v>
      </c>
      <c r="E23893" s="11">
        <v>45689</v>
      </c>
      <c r="F23893">
        <v>0</v>
      </c>
      <c r="G23893">
        <v>0</v>
      </c>
      <c r="I23893">
        <v>0</v>
      </c>
      <c r="J23893">
        <v>0</v>
      </c>
      <c r="L23893">
        <v>0</v>
      </c>
      <c r="N23893">
        <v>0</v>
      </c>
      <c r="P23893">
        <v>0</v>
      </c>
      <c r="Q23893">
        <v>0</v>
      </c>
      <c r="S23893">
        <v>0</v>
      </c>
    </row>
    <row r="23894" spans="1:19" x14ac:dyDescent="0.3">
      <c r="A23894" t="str">
        <f t="shared" si="38"/>
        <v>All PCIT ProvidersPCIT FFFeb-25</v>
      </c>
      <c r="B23894" s="171" t="s">
        <v>46808</v>
      </c>
      <c r="C23894" s="171" t="s">
        <v>95</v>
      </c>
      <c r="D23894" s="171" t="s">
        <v>80</v>
      </c>
      <c r="E23894" s="11">
        <v>45689</v>
      </c>
      <c r="F23894">
        <v>3</v>
      </c>
      <c r="G23894">
        <v>3.5</v>
      </c>
      <c r="I23894">
        <v>3</v>
      </c>
      <c r="J23894">
        <v>15</v>
      </c>
      <c r="L23894">
        <v>18</v>
      </c>
      <c r="N23894">
        <v>2</v>
      </c>
      <c r="P23894">
        <v>0</v>
      </c>
      <c r="Q23894">
        <v>0</v>
      </c>
      <c r="S23894">
        <v>1</v>
      </c>
    </row>
    <row r="23895" spans="1:19" x14ac:dyDescent="0.3">
      <c r="A23895" t="str">
        <f t="shared" si="38"/>
        <v>All PCIT ProvidersPCIT DCSFeb-25</v>
      </c>
      <c r="B23895" s="171" t="s">
        <v>46809</v>
      </c>
      <c r="C23895" s="171" t="s">
        <v>95</v>
      </c>
      <c r="D23895" s="171" t="s">
        <v>15341</v>
      </c>
      <c r="E23895" s="11">
        <v>45689</v>
      </c>
      <c r="F23895">
        <v>0</v>
      </c>
      <c r="G23895">
        <v>0</v>
      </c>
      <c r="I23895">
        <v>0</v>
      </c>
      <c r="J23895">
        <v>0</v>
      </c>
      <c r="L23895">
        <v>0</v>
      </c>
      <c r="N23895">
        <v>0</v>
      </c>
      <c r="P23895">
        <v>0</v>
      </c>
      <c r="Q23895">
        <v>0</v>
      </c>
      <c r="S23895">
        <v>0</v>
      </c>
    </row>
    <row r="23896" spans="1:19" x14ac:dyDescent="0.3">
      <c r="A23896" t="str">
        <f t="shared" si="38"/>
        <v>All PCIT ProvidersPCIT CombinedFeb-25</v>
      </c>
      <c r="B23896" s="171" t="s">
        <v>46810</v>
      </c>
      <c r="C23896" s="171" t="s">
        <v>95</v>
      </c>
      <c r="D23896" s="171" t="s">
        <v>4</v>
      </c>
      <c r="E23896" s="11">
        <v>45689</v>
      </c>
      <c r="F23896">
        <v>3</v>
      </c>
      <c r="G23896">
        <v>3.5</v>
      </c>
      <c r="I23896">
        <v>3</v>
      </c>
      <c r="J23896">
        <v>15</v>
      </c>
      <c r="L23896">
        <v>18</v>
      </c>
      <c r="N23896">
        <v>2</v>
      </c>
      <c r="P23896">
        <v>0</v>
      </c>
      <c r="Q23896">
        <v>0</v>
      </c>
      <c r="S23896">
        <v>1</v>
      </c>
    </row>
    <row r="23897" spans="1:19" x14ac:dyDescent="0.3">
      <c r="A23897" t="str">
        <f t="shared" si="38"/>
        <v>All PCIT-T ProvidersPCIT-T FFFeb-25</v>
      </c>
      <c r="B23897" s="171" t="s">
        <v>46811</v>
      </c>
      <c r="C23897" s="171" t="s">
        <v>35161</v>
      </c>
      <c r="D23897" s="171" t="s">
        <v>80</v>
      </c>
      <c r="E23897" s="11">
        <v>45689</v>
      </c>
      <c r="F23897">
        <v>2.5</v>
      </c>
      <c r="G23897">
        <v>3.5</v>
      </c>
      <c r="I23897">
        <v>7</v>
      </c>
      <c r="J23897">
        <v>13</v>
      </c>
      <c r="L23897">
        <v>18</v>
      </c>
      <c r="N23897">
        <v>4</v>
      </c>
      <c r="P23897">
        <v>0</v>
      </c>
      <c r="Q23897">
        <v>0</v>
      </c>
      <c r="S23897">
        <v>3</v>
      </c>
    </row>
    <row r="23898" spans="1:19" x14ac:dyDescent="0.3">
      <c r="A23898" t="str">
        <f t="shared" si="38"/>
        <v>All PCIT-T ProvidersPCIT-T CombinedFeb-25</v>
      </c>
      <c r="B23898" s="171" t="s">
        <v>46812</v>
      </c>
      <c r="C23898" s="171" t="s">
        <v>35161</v>
      </c>
      <c r="D23898" s="171" t="s">
        <v>4</v>
      </c>
      <c r="E23898" s="11">
        <v>45689</v>
      </c>
      <c r="F23898">
        <v>2.5</v>
      </c>
      <c r="G23898">
        <v>3.5</v>
      </c>
      <c r="I23898">
        <v>7</v>
      </c>
      <c r="J23898">
        <v>13</v>
      </c>
      <c r="L23898">
        <v>18</v>
      </c>
      <c r="N23898">
        <v>4</v>
      </c>
      <c r="P23898">
        <v>0</v>
      </c>
      <c r="Q23898">
        <v>0</v>
      </c>
      <c r="S23898">
        <v>3</v>
      </c>
    </row>
    <row r="23899" spans="1:19" x14ac:dyDescent="0.3">
      <c r="A23899" t="str">
        <f t="shared" si="38"/>
        <v>All SFCR ProvidersSFCR FFFeb-25</v>
      </c>
      <c r="B23899" s="171" t="s">
        <v>46813</v>
      </c>
      <c r="C23899" s="171" t="s">
        <v>19659</v>
      </c>
      <c r="D23899" s="171" t="s">
        <v>80</v>
      </c>
      <c r="E23899" s="11">
        <v>45689</v>
      </c>
      <c r="F23899">
        <v>0</v>
      </c>
      <c r="G23899">
        <v>0</v>
      </c>
      <c r="I23899">
        <v>0</v>
      </c>
      <c r="J23899">
        <v>0</v>
      </c>
      <c r="L23899">
        <v>0</v>
      </c>
      <c r="N23899">
        <v>0</v>
      </c>
      <c r="P23899">
        <v>0</v>
      </c>
      <c r="Q23899">
        <v>0</v>
      </c>
      <c r="S23899">
        <v>0</v>
      </c>
    </row>
    <row r="23900" spans="1:19" x14ac:dyDescent="0.3">
      <c r="A23900" t="str">
        <f t="shared" si="38"/>
        <v>All SFCR ProvidersSFCR CombinedFeb-25</v>
      </c>
      <c r="B23900" s="171" t="s">
        <v>46814</v>
      </c>
      <c r="C23900" s="171" t="s">
        <v>19659</v>
      </c>
      <c r="D23900" s="171" t="s">
        <v>4</v>
      </c>
      <c r="E23900" s="11">
        <v>45689</v>
      </c>
      <c r="F23900">
        <v>0</v>
      </c>
      <c r="G23900">
        <v>0</v>
      </c>
      <c r="I23900">
        <v>0</v>
      </c>
      <c r="J23900">
        <v>0</v>
      </c>
      <c r="L23900">
        <v>0</v>
      </c>
      <c r="N23900">
        <v>0</v>
      </c>
      <c r="P23900">
        <v>0</v>
      </c>
      <c r="Q23900">
        <v>0</v>
      </c>
      <c r="S23900">
        <v>0</v>
      </c>
    </row>
    <row r="23901" spans="1:19" x14ac:dyDescent="0.3">
      <c r="A23901" t="str">
        <f t="shared" si="38"/>
        <v>All TF-CBT ProvidersTF-CBT FFFeb-25</v>
      </c>
      <c r="B23901" s="171" t="s">
        <v>46815</v>
      </c>
      <c r="C23901" s="171" t="s">
        <v>98</v>
      </c>
      <c r="D23901" s="171" t="s">
        <v>80</v>
      </c>
      <c r="E23901" s="11">
        <v>45689</v>
      </c>
      <c r="F23901">
        <v>7.5</v>
      </c>
      <c r="G23901">
        <v>13</v>
      </c>
      <c r="I23901">
        <v>23</v>
      </c>
      <c r="J23901">
        <v>43</v>
      </c>
      <c r="L23901">
        <v>72</v>
      </c>
      <c r="N23901">
        <v>23</v>
      </c>
      <c r="P23901">
        <v>3</v>
      </c>
      <c r="Q23901">
        <v>4</v>
      </c>
      <c r="S23901">
        <v>0</v>
      </c>
    </row>
    <row r="23902" spans="1:19" x14ac:dyDescent="0.3">
      <c r="A23902" t="str">
        <f t="shared" si="38"/>
        <v>All TF-CBT ProvidersTF-CBT CombinedFeb-25</v>
      </c>
      <c r="B23902" s="171" t="s">
        <v>46816</v>
      </c>
      <c r="C23902" s="171" t="s">
        <v>98</v>
      </c>
      <c r="D23902" s="171" t="s">
        <v>4</v>
      </c>
      <c r="E23902" s="11">
        <v>45689</v>
      </c>
      <c r="F23902">
        <v>7.5</v>
      </c>
      <c r="G23902">
        <v>13</v>
      </c>
      <c r="I23902">
        <v>23</v>
      </c>
      <c r="J23902">
        <v>43</v>
      </c>
      <c r="L23902">
        <v>72</v>
      </c>
      <c r="N23902">
        <v>23</v>
      </c>
      <c r="P23902">
        <v>3</v>
      </c>
      <c r="Q23902">
        <v>4</v>
      </c>
      <c r="S23902">
        <v>0</v>
      </c>
    </row>
    <row r="23903" spans="1:19" x14ac:dyDescent="0.3">
      <c r="A23903" t="str">
        <f t="shared" si="38"/>
        <v>All TIP ProvidersTIP FFFeb-25</v>
      </c>
      <c r="B23903" s="171" t="s">
        <v>46817</v>
      </c>
      <c r="C23903" s="171" t="s">
        <v>101</v>
      </c>
      <c r="D23903" s="171" t="s">
        <v>80</v>
      </c>
      <c r="E23903" s="11">
        <v>45689</v>
      </c>
      <c r="F23903">
        <v>24.5</v>
      </c>
      <c r="G23903">
        <v>28.5</v>
      </c>
      <c r="I23903">
        <v>182</v>
      </c>
      <c r="J23903">
        <v>273</v>
      </c>
      <c r="L23903">
        <v>316</v>
      </c>
      <c r="N23903">
        <v>170</v>
      </c>
      <c r="P23903">
        <v>4</v>
      </c>
      <c r="Q23903">
        <v>9</v>
      </c>
      <c r="S23903">
        <v>12</v>
      </c>
    </row>
    <row r="23904" spans="1:19" x14ac:dyDescent="0.3">
      <c r="A23904" t="str">
        <f t="shared" si="38"/>
        <v>All TIP ProvidersTIP CombinedFeb-25</v>
      </c>
      <c r="B23904" s="171" t="s">
        <v>46818</v>
      </c>
      <c r="C23904" s="171" t="s">
        <v>101</v>
      </c>
      <c r="D23904" s="171" t="s">
        <v>4</v>
      </c>
      <c r="E23904" s="11">
        <v>45689</v>
      </c>
      <c r="F23904">
        <v>24.5</v>
      </c>
      <c r="G23904">
        <v>28.5</v>
      </c>
      <c r="I23904">
        <v>182</v>
      </c>
      <c r="J23904">
        <v>273</v>
      </c>
      <c r="L23904">
        <v>316</v>
      </c>
      <c r="N23904">
        <v>170</v>
      </c>
      <c r="P23904">
        <v>4</v>
      </c>
      <c r="Q23904">
        <v>9</v>
      </c>
      <c r="S23904">
        <v>12</v>
      </c>
    </row>
    <row r="23905" spans="1:19" x14ac:dyDescent="0.3">
      <c r="A23905" t="str">
        <f t="shared" si="38"/>
        <v>All TST ProvidersTST FFFeb-25</v>
      </c>
      <c r="B23905" s="171" t="s">
        <v>46819</v>
      </c>
      <c r="C23905" s="171" t="s">
        <v>6843</v>
      </c>
      <c r="D23905" s="171" t="s">
        <v>80</v>
      </c>
      <c r="E23905" s="11">
        <v>45689</v>
      </c>
      <c r="F23905">
        <v>3.5</v>
      </c>
      <c r="G23905">
        <v>2.5</v>
      </c>
      <c r="I23905">
        <v>13</v>
      </c>
      <c r="J23905">
        <v>20</v>
      </c>
      <c r="L23905">
        <v>14</v>
      </c>
      <c r="N23905">
        <v>2</v>
      </c>
      <c r="P23905">
        <v>1</v>
      </c>
      <c r="Q23905">
        <v>1</v>
      </c>
      <c r="S23905">
        <v>11</v>
      </c>
    </row>
    <row r="23906" spans="1:19" x14ac:dyDescent="0.3">
      <c r="A23906" t="str">
        <f t="shared" si="38"/>
        <v>All TST ProvidersTST CombinedFeb-25</v>
      </c>
      <c r="B23906" s="171" t="s">
        <v>46820</v>
      </c>
      <c r="C23906" s="171" t="s">
        <v>6843</v>
      </c>
      <c r="D23906" s="171" t="s">
        <v>4</v>
      </c>
      <c r="E23906" s="11">
        <v>45689</v>
      </c>
      <c r="F23906">
        <v>3.5</v>
      </c>
      <c r="G23906">
        <v>2.5</v>
      </c>
      <c r="I23906">
        <v>13</v>
      </c>
      <c r="J23906">
        <v>20</v>
      </c>
      <c r="L23906">
        <v>14</v>
      </c>
      <c r="N23906">
        <v>2</v>
      </c>
      <c r="P23906">
        <v>1</v>
      </c>
      <c r="Q23906">
        <v>1</v>
      </c>
      <c r="S23906">
        <v>11</v>
      </c>
    </row>
    <row r="23907" spans="1:19" x14ac:dyDescent="0.3">
      <c r="A23907" t="str">
        <f t="shared" si="38"/>
        <v>Families First ProvidersAll FFFeb-25</v>
      </c>
      <c r="B23907" s="171" t="s">
        <v>46821</v>
      </c>
      <c r="C23907" s="171" t="s">
        <v>12995</v>
      </c>
      <c r="D23907" s="171" t="s">
        <v>80</v>
      </c>
      <c r="E23907" s="11">
        <v>45689</v>
      </c>
      <c r="F23907">
        <v>62.5</v>
      </c>
      <c r="G23907">
        <v>84</v>
      </c>
      <c r="I23907">
        <v>313</v>
      </c>
      <c r="J23907">
        <v>466</v>
      </c>
      <c r="L23907">
        <v>594</v>
      </c>
      <c r="N23907">
        <v>267</v>
      </c>
      <c r="O23907" t="s">
        <v>16361</v>
      </c>
      <c r="P23907">
        <v>13</v>
      </c>
      <c r="Q23907">
        <v>24</v>
      </c>
      <c r="S23907">
        <v>46</v>
      </c>
    </row>
    <row r="23908" spans="1:19" x14ac:dyDescent="0.3">
      <c r="A23908" t="str">
        <f t="shared" si="38"/>
        <v>DC Seed ProvidersAll DCSFeb-25</v>
      </c>
      <c r="B23908" s="171" t="s">
        <v>46822</v>
      </c>
      <c r="C23908" s="171" t="s">
        <v>15504</v>
      </c>
      <c r="D23908" s="171" t="s">
        <v>15341</v>
      </c>
      <c r="E23908" s="11">
        <v>45689</v>
      </c>
      <c r="F23908">
        <v>0</v>
      </c>
      <c r="G23908">
        <v>0</v>
      </c>
      <c r="I23908">
        <v>0</v>
      </c>
      <c r="J23908">
        <v>0</v>
      </c>
      <c r="L23908">
        <v>0</v>
      </c>
      <c r="N23908">
        <v>0</v>
      </c>
      <c r="O23908" t="s">
        <v>16361</v>
      </c>
      <c r="P23908">
        <v>0</v>
      </c>
      <c r="Q23908">
        <v>0</v>
      </c>
      <c r="S23908">
        <v>0</v>
      </c>
    </row>
    <row r="23909" spans="1:19" x14ac:dyDescent="0.3">
      <c r="A23909" t="str">
        <f t="shared" si="38"/>
        <v>Trauma ProvidersAll FFFeb-25</v>
      </c>
      <c r="B23909" s="171" t="s">
        <v>46823</v>
      </c>
      <c r="C23909" s="171" t="s">
        <v>15511</v>
      </c>
      <c r="D23909" s="171" t="s">
        <v>80</v>
      </c>
      <c r="E23909" s="11">
        <v>45689</v>
      </c>
      <c r="F23909">
        <v>17.5</v>
      </c>
      <c r="G23909">
        <v>25</v>
      </c>
      <c r="H23909">
        <v>201</v>
      </c>
      <c r="I23909">
        <v>43</v>
      </c>
      <c r="J23909">
        <v>95</v>
      </c>
      <c r="L23909">
        <v>136</v>
      </c>
      <c r="N23909">
        <v>39</v>
      </c>
      <c r="P23909">
        <v>3</v>
      </c>
      <c r="Q23909">
        <v>5</v>
      </c>
      <c r="S23909">
        <v>4</v>
      </c>
    </row>
    <row r="23910" spans="1:19" x14ac:dyDescent="0.3">
      <c r="A23910" t="str">
        <f t="shared" si="38"/>
        <v>Trauma ProvidersAll DCSFeb-25</v>
      </c>
      <c r="B23910" s="171" t="s">
        <v>46824</v>
      </c>
      <c r="C23910" s="171" t="s">
        <v>15511</v>
      </c>
      <c r="D23910" s="171" t="s">
        <v>15341</v>
      </c>
      <c r="E23910" s="11">
        <v>45689</v>
      </c>
      <c r="F23910">
        <v>0</v>
      </c>
      <c r="G23910">
        <v>0</v>
      </c>
      <c r="I23910">
        <v>0</v>
      </c>
      <c r="J23910">
        <v>0</v>
      </c>
      <c r="L23910">
        <v>0</v>
      </c>
      <c r="N23910">
        <v>0</v>
      </c>
      <c r="P23910">
        <v>0</v>
      </c>
      <c r="Q23910">
        <v>0</v>
      </c>
      <c r="S23910">
        <v>0</v>
      </c>
    </row>
    <row r="23911" spans="1:19" x14ac:dyDescent="0.3">
      <c r="A23911" t="str">
        <f t="shared" si="38"/>
        <v>Trauma ProvidersAll CombinedFeb-25</v>
      </c>
      <c r="B23911" s="171" t="s">
        <v>46825</v>
      </c>
      <c r="C23911" s="171" t="s">
        <v>15511</v>
      </c>
      <c r="D23911" s="171" t="s">
        <v>4</v>
      </c>
      <c r="E23911" s="11">
        <v>45689</v>
      </c>
      <c r="F23911">
        <v>17.5</v>
      </c>
      <c r="G23911">
        <v>25</v>
      </c>
      <c r="I23911">
        <v>43</v>
      </c>
      <c r="J23911">
        <v>95</v>
      </c>
      <c r="L23911">
        <v>136</v>
      </c>
      <c r="N23911">
        <v>39</v>
      </c>
      <c r="P23911">
        <v>3</v>
      </c>
      <c r="Q23911">
        <v>5</v>
      </c>
      <c r="S23911">
        <v>4</v>
      </c>
    </row>
    <row r="23912" spans="1:19" x14ac:dyDescent="0.3">
      <c r="A23912" t="str">
        <f t="shared" si="38"/>
        <v>AllAll CombinedFeb-25</v>
      </c>
      <c r="B23912" s="171" t="s">
        <v>46826</v>
      </c>
      <c r="C23912" s="171" t="s">
        <v>104</v>
      </c>
      <c r="D23912" s="171" t="s">
        <v>4</v>
      </c>
      <c r="E23912" s="11">
        <v>45689</v>
      </c>
      <c r="F23912">
        <v>62.5</v>
      </c>
      <c r="G23912">
        <v>84</v>
      </c>
      <c r="I23912">
        <v>313</v>
      </c>
      <c r="J23912">
        <v>466</v>
      </c>
      <c r="L23912">
        <v>594</v>
      </c>
      <c r="N23912">
        <v>267</v>
      </c>
      <c r="P23912">
        <v>13</v>
      </c>
      <c r="Q23912">
        <v>24</v>
      </c>
      <c r="S23912">
        <v>46</v>
      </c>
    </row>
  </sheetData>
  <autoFilter ref="A1:S22996"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x14ac:dyDescent="0.3"/>
  <cols>
    <col min="1" max="1" width="21.109375" bestFit="1" customWidth="1"/>
    <col min="2" max="2" width="20.109375" bestFit="1" customWidth="1"/>
  </cols>
  <sheetData>
    <row r="1" spans="1:4" x14ac:dyDescent="0.3">
      <c r="A1" t="s">
        <v>39877</v>
      </c>
      <c r="B1" t="s">
        <v>39877</v>
      </c>
      <c r="C1" t="str">
        <f>IF(A1=B1,"Ok","Problem")</f>
        <v>Ok</v>
      </c>
      <c r="D1">
        <f>VLOOKUP(B1,data2!B:F,5,FALSE)</f>
        <v>61</v>
      </c>
    </row>
    <row r="2" spans="1:4" x14ac:dyDescent="0.3">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x14ac:dyDescent="0.3"/>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x14ac:dyDescent="0.5">
      <c r="A1" s="269" t="s">
        <v>44150</v>
      </c>
      <c r="B1" s="270"/>
      <c r="C1" s="270"/>
      <c r="D1" s="270"/>
      <c r="E1" s="270"/>
      <c r="F1" s="270"/>
      <c r="G1" s="270"/>
      <c r="H1" s="270"/>
      <c r="I1" s="270"/>
      <c r="J1" s="270"/>
      <c r="K1" s="270"/>
      <c r="L1" s="270"/>
      <c r="M1" s="270"/>
      <c r="N1" s="270"/>
      <c r="O1" s="270"/>
      <c r="P1" s="74"/>
      <c r="Q1" s="108"/>
      <c r="R1" s="108"/>
      <c r="S1" s="73"/>
      <c r="T1" s="264" t="s">
        <v>44151</v>
      </c>
      <c r="U1" s="265"/>
      <c r="V1" s="265"/>
      <c r="W1" s="265"/>
      <c r="X1" s="265"/>
      <c r="Y1" s="265"/>
      <c r="Z1" s="265"/>
      <c r="AA1" s="265"/>
      <c r="AB1" s="265"/>
      <c r="AC1" s="265"/>
      <c r="AD1" s="265"/>
      <c r="AE1" s="265"/>
      <c r="AF1" s="265"/>
      <c r="AG1" s="265"/>
      <c r="AH1" s="266"/>
    </row>
    <row r="3" spans="1:34" x14ac:dyDescent="0.3">
      <c r="A3" s="6" t="s">
        <v>44152</v>
      </c>
      <c r="B3" s="268" t="str">
        <f>display!E$3</f>
        <v>Combined</v>
      </c>
      <c r="C3" s="260"/>
      <c r="D3" s="261"/>
      <c r="F3" s="6" t="s">
        <v>44153</v>
      </c>
      <c r="G3" s="268" t="str">
        <f>display!L$3</f>
        <v>All</v>
      </c>
      <c r="H3" s="260"/>
      <c r="I3" s="261"/>
      <c r="K3" t="s">
        <v>44154</v>
      </c>
      <c r="L3" s="268" t="str">
        <f>display!E$4</f>
        <v>All</v>
      </c>
      <c r="M3" s="260"/>
      <c r="N3" s="261"/>
      <c r="T3" s="6" t="s">
        <v>44152</v>
      </c>
      <c r="U3" s="267" t="str">
        <f>display!W3</f>
        <v>Combined</v>
      </c>
      <c r="V3" s="262"/>
      <c r="W3" s="263"/>
      <c r="Y3" s="6" t="s">
        <v>44153</v>
      </c>
      <c r="Z3" s="267" t="str">
        <f>display!AD3</f>
        <v>All</v>
      </c>
      <c r="AA3" s="262"/>
      <c r="AB3" s="263"/>
      <c r="AD3" t="s">
        <v>44154</v>
      </c>
      <c r="AE3" s="267" t="str">
        <f>display!W4</f>
        <v>All</v>
      </c>
      <c r="AF3" s="262"/>
      <c r="AG3" s="263"/>
    </row>
    <row r="5" spans="1:34" x14ac:dyDescent="0.3">
      <c r="A5" s="58" t="s">
        <v>44155</v>
      </c>
      <c r="B5" s="260" t="s">
        <v>44156</v>
      </c>
      <c r="C5" s="260"/>
      <c r="D5" s="261"/>
      <c r="T5" s="59" t="s">
        <v>44155</v>
      </c>
      <c r="U5" s="262" t="s">
        <v>44156</v>
      </c>
      <c r="V5" s="262"/>
      <c r="W5" s="263"/>
    </row>
    <row r="6" spans="1:34" x14ac:dyDescent="0.3">
      <c r="A6" s="6">
        <v>1</v>
      </c>
      <c r="B6" s="259" t="str">
        <f>IF(VLOOKUP(calculations!$G$3&amp;A6,lists!C$4:D$5290,2,FALSE)=0,"",VLOOKUP(calculations!$G$3&amp;A6,lists!C$4:D$5290,2,FALSE))</f>
        <v>All</v>
      </c>
      <c r="C6" s="259"/>
      <c r="D6" s="259"/>
      <c r="T6" s="6">
        <v>1</v>
      </c>
      <c r="U6" s="259" t="str">
        <f>IF(VLOOKUP(calculations!$Z$3&amp;T6,lists!C$4:D$5290,2,FALSE)=0,"",VLOOKUP(calculations!$Z$3&amp;T6,lists!C$4:D$5290,2,FALSE))</f>
        <v>All</v>
      </c>
      <c r="V6" s="259"/>
      <c r="W6" s="259"/>
    </row>
    <row r="7" spans="1:34" x14ac:dyDescent="0.3">
      <c r="A7" s="6">
        <v>2</v>
      </c>
      <c r="B7" s="259" t="str">
        <f>IF(VLOOKUP(calculations!$G$3&amp;A7,lists!C$4:D$5290,2,FALSE)=0,"",VLOOKUP(calculations!$G$3&amp;A7,lists!C$4:D$5290,2,FALSE))</f>
        <v>DC Seed Providers</v>
      </c>
      <c r="C7" s="259"/>
      <c r="D7" s="259"/>
      <c r="T7" s="6">
        <v>2</v>
      </c>
      <c r="U7" s="259" t="str">
        <f>IF(VLOOKUP(calculations!$Z$3&amp;T7,lists!C$4:D$5290,2,FALSE)=0,"",VLOOKUP(calculations!$Z$3&amp;T7,lists!C$4:D$5290,2,FALSE))</f>
        <v>DC Seed Providers</v>
      </c>
      <c r="V7" s="259"/>
      <c r="W7" s="259"/>
    </row>
    <row r="8" spans="1:34" x14ac:dyDescent="0.3">
      <c r="A8" s="6">
        <v>3</v>
      </c>
      <c r="B8" s="259" t="str">
        <f>IF(VLOOKUP(calculations!$G$3&amp;A8,lists!C$4:D$5290,2,FALSE)=0,"",VLOOKUP(calculations!$G$3&amp;A8,lists!C$4:D$5290,2,FALSE))</f>
        <v>Families First Providers</v>
      </c>
      <c r="C8" s="259"/>
      <c r="D8" s="259"/>
      <c r="T8" s="6">
        <v>3</v>
      </c>
      <c r="U8" s="259" t="str">
        <f>IF(VLOOKUP(calculations!$Z$3&amp;T8,lists!C$4:D$5290,2,FALSE)=0,"",VLOOKUP(calculations!$Z$3&amp;T8,lists!C$4:D$5290,2,FALSE))</f>
        <v>Families First Providers</v>
      </c>
      <c r="V8" s="259"/>
      <c r="W8" s="259"/>
    </row>
    <row r="9" spans="1:34" x14ac:dyDescent="0.3">
      <c r="A9" s="6">
        <v>4</v>
      </c>
      <c r="B9" s="259" t="str">
        <f>IF(VLOOKUP(calculations!$G$3&amp;A9,lists!C$4:D$5290,2,FALSE)=0,"",VLOOKUP(calculations!$G$3&amp;A9,lists!C$4:D$5290,2,FALSE))</f>
        <v>Trauma Providers</v>
      </c>
      <c r="C9" s="259"/>
      <c r="D9" s="259"/>
      <c r="T9" s="6">
        <v>4</v>
      </c>
      <c r="U9" s="259" t="str">
        <f>IF(VLOOKUP(calculations!$Z$3&amp;T9,lists!C$4:D$5290,2,FALSE)=0,"",VLOOKUP(calculations!$Z$3&amp;T9,lists!C$4:D$5290,2,FALSE))</f>
        <v>Trauma Providers</v>
      </c>
      <c r="V9" s="259"/>
      <c r="W9" s="259"/>
    </row>
    <row r="10" spans="1:34" x14ac:dyDescent="0.3">
      <c r="A10" s="6">
        <v>5</v>
      </c>
      <c r="B10" s="259" t="str">
        <f>IF(VLOOKUP(calculations!$G$3&amp;A10,lists!C$4:D$5290,2,FALSE)=0,"",VLOOKUP(calculations!$G$3&amp;A10,lists!C$4:D$5290,2,FALSE))</f>
        <v>Adoptions Together</v>
      </c>
      <c r="C10" s="259"/>
      <c r="D10" s="259"/>
      <c r="T10" s="6">
        <v>5</v>
      </c>
      <c r="U10" s="259" t="str">
        <f>IF(VLOOKUP(calculations!$Z$3&amp;T10,lists!C$4:D$5290,2,FALSE)=0,"",VLOOKUP(calculations!$Z$3&amp;T10,lists!C$4:D$5290,2,FALSE))</f>
        <v>Adoptions Together</v>
      </c>
      <c r="V10" s="259"/>
      <c r="W10" s="259"/>
    </row>
    <row r="11" spans="1:34" x14ac:dyDescent="0.3">
      <c r="A11" s="6">
        <v>6</v>
      </c>
      <c r="B11" s="259" t="str">
        <f>IF(VLOOKUP(calculations!$G$3&amp;A11,lists!C$4:D$5290,2,FALSE)=0,"",VLOOKUP(calculations!$G$3&amp;A11,lists!C$4:D$5290,2,FALSE))</f>
        <v>Better Mornings</v>
      </c>
      <c r="C11" s="259"/>
      <c r="D11" s="259"/>
      <c r="T11" s="6">
        <v>6</v>
      </c>
      <c r="U11" s="259" t="str">
        <f>IF(VLOOKUP(calculations!$Z$3&amp;T11,lists!C$4:D$5290,2,FALSE)=0,"",VLOOKUP(calculations!$Z$3&amp;T11,lists!C$4:D$5290,2,FALSE))</f>
        <v>Better Mornings</v>
      </c>
      <c r="V11" s="259"/>
      <c r="W11" s="259"/>
    </row>
    <row r="12" spans="1:34" x14ac:dyDescent="0.3">
      <c r="A12" s="6">
        <v>7</v>
      </c>
      <c r="B12" s="259" t="str">
        <f>IF(VLOOKUP(calculations!$G$3&amp;A12,lists!C$4:D$5290,2,FALSE)=0,"",VLOOKUP(calculations!$G$3&amp;A12,lists!C$4:D$5290,2,FALSE))</f>
        <v>Catholic</v>
      </c>
      <c r="C12" s="259"/>
      <c r="D12" s="259"/>
      <c r="T12" s="6">
        <v>7</v>
      </c>
      <c r="U12" s="259" t="str">
        <f>IF(VLOOKUP(calculations!$Z$3&amp;T12,lists!C$4:D$5290,2,FALSE)=0,"",VLOOKUP(calculations!$Z$3&amp;T12,lists!C$4:D$5290,2,FALSE))</f>
        <v>Catholic</v>
      </c>
      <c r="V12" s="259"/>
      <c r="W12" s="259"/>
    </row>
    <row r="13" spans="1:34" x14ac:dyDescent="0.3">
      <c r="A13" s="6">
        <v>8</v>
      </c>
      <c r="B13" s="259" t="str">
        <f>IF(VLOOKUP(calculations!$G$3&amp;A13,lists!C$4:D$5290,2,FALSE)=0,"",VLOOKUP(calculations!$G$3&amp;A13,lists!C$4:D$5290,2,FALSE))</f>
        <v>CFS</v>
      </c>
      <c r="C13" s="259"/>
      <c r="D13" s="259"/>
      <c r="T13" s="6">
        <v>8</v>
      </c>
      <c r="U13" s="259" t="str">
        <f>IF(VLOOKUP(calculations!$Z$3&amp;T13,lists!C$4:D$5290,2,FALSE)=0,"",VLOOKUP(calculations!$Z$3&amp;T13,lists!C$4:D$5290,2,FALSE))</f>
        <v>CFS</v>
      </c>
      <c r="V13" s="259"/>
      <c r="W13" s="259"/>
    </row>
    <row r="14" spans="1:34" x14ac:dyDescent="0.3">
      <c r="A14" s="6">
        <v>9</v>
      </c>
      <c r="B14" s="259" t="str">
        <f>IF(VLOOKUP(calculations!$G$3&amp;A14,lists!C$4:D$5290,2,FALSE)=0,"",VLOOKUP(calculations!$G$3&amp;A14,lists!C$4:D$5290,2,FALSE))</f>
        <v>Community Connections</v>
      </c>
      <c r="C14" s="259"/>
      <c r="D14" s="259"/>
      <c r="T14" s="6">
        <v>9</v>
      </c>
      <c r="U14" s="259" t="str">
        <f>IF(VLOOKUP(calculations!$Z$3&amp;T14,lists!C$4:D$5290,2,FALSE)=0,"",VLOOKUP(calculations!$Z$3&amp;T14,lists!C$4:D$5290,2,FALSE))</f>
        <v>Community Connections</v>
      </c>
      <c r="V14" s="259"/>
      <c r="W14" s="259"/>
    </row>
    <row r="15" spans="1:34" x14ac:dyDescent="0.3">
      <c r="A15" s="6">
        <v>10</v>
      </c>
      <c r="B15" s="259" t="str">
        <f>IF(VLOOKUP(calculations!$G$3&amp;A15,lists!C$4:D$5290,2,FALSE)=0,"",VLOOKUP(calculations!$G$3&amp;A15,lists!C$4:D$5290,2,FALSE))</f>
        <v>Contemporary</v>
      </c>
      <c r="C15" s="259"/>
      <c r="D15" s="259"/>
      <c r="T15" s="6">
        <v>10</v>
      </c>
      <c r="U15" s="259" t="str">
        <f>IF(VLOOKUP(calculations!$Z$3&amp;T15,lists!C$4:D$5290,2,FALSE)=0,"",VLOOKUP(calculations!$Z$3&amp;T15,lists!C$4:D$5290,2,FALSE))</f>
        <v>Contemporary</v>
      </c>
      <c r="V15" s="259"/>
      <c r="W15" s="259"/>
    </row>
    <row r="16" spans="1:34" x14ac:dyDescent="0.3">
      <c r="A16" s="6">
        <v>11</v>
      </c>
      <c r="B16" s="259" t="str">
        <f>IF(VLOOKUP(calculations!$G$3&amp;A16,lists!C$4:D$5290,2,FALSE)=0,"",VLOOKUP(calculations!$G$3&amp;A16,lists!C$4:D$5290,2,FALSE))</f>
        <v>Federal City</v>
      </c>
      <c r="C16" s="259"/>
      <c r="D16" s="259"/>
      <c r="T16" s="6">
        <v>11</v>
      </c>
      <c r="U16" s="259" t="str">
        <f>IF(VLOOKUP(calculations!$Z$3&amp;T16,lists!C$4:D$5290,2,FALSE)=0,"",VLOOKUP(calculations!$Z$3&amp;T16,lists!C$4:D$5290,2,FALSE))</f>
        <v>Federal City</v>
      </c>
      <c r="V16" s="259"/>
      <c r="W16" s="259"/>
    </row>
    <row r="17" spans="1:23" x14ac:dyDescent="0.3">
      <c r="A17" s="6">
        <v>12</v>
      </c>
      <c r="B17" s="259" t="str">
        <f>IF(VLOOKUP(calculations!$G$3&amp;A17,lists!C$4:D$5290,2,FALSE)=0,"",VLOOKUP(calculations!$G$3&amp;A17,lists!C$4:D$5290,2,FALSE))</f>
        <v>First Home Care</v>
      </c>
      <c r="C17" s="259"/>
      <c r="D17" s="259"/>
      <c r="T17" s="6">
        <v>12</v>
      </c>
      <c r="U17" s="259" t="str">
        <f>IF(VLOOKUP(calculations!$Z$3&amp;T17,lists!C$4:D$5290,2,FALSE)=0,"",VLOOKUP(calculations!$Z$3&amp;T17,lists!C$4:D$5290,2,FALSE))</f>
        <v>First Home Care</v>
      </c>
      <c r="V17" s="259"/>
      <c r="W17" s="259"/>
    </row>
    <row r="18" spans="1:23" x14ac:dyDescent="0.3">
      <c r="A18" s="6">
        <v>13</v>
      </c>
      <c r="B18" s="259" t="str">
        <f>IF(VLOOKUP(calculations!$G$3&amp;A18,lists!C$4:D$5290,2,FALSE)=0,"",VLOOKUP(calculations!$G$3&amp;A18,lists!C$4:D$5290,2,FALSE))</f>
        <v>Foundations for Home &amp; Community</v>
      </c>
      <c r="C18" s="259"/>
      <c r="D18" s="259"/>
      <c r="T18" s="6">
        <v>13</v>
      </c>
      <c r="U18" s="259" t="str">
        <f>IF(VLOOKUP(calculations!$Z$3&amp;T18,lists!C$4:D$5290,2,FALSE)=0,"",VLOOKUP(calculations!$Z$3&amp;T18,lists!C$4:D$5290,2,FALSE))</f>
        <v>Foundations for Home &amp; Community</v>
      </c>
      <c r="V18" s="259"/>
      <c r="W18" s="259"/>
    </row>
    <row r="19" spans="1:23" x14ac:dyDescent="0.3">
      <c r="A19" s="6">
        <v>14</v>
      </c>
      <c r="B19" s="259" t="str">
        <f>IF(VLOOKUP(calculations!$G$3&amp;A19,lists!C$4:D$5290,2,FALSE)=0,"",VLOOKUP(calculations!$G$3&amp;A19,lists!C$4:D$5290,2,FALSE))</f>
        <v>FPS</v>
      </c>
      <c r="C19" s="259"/>
      <c r="D19" s="259"/>
      <c r="T19" s="6">
        <v>14</v>
      </c>
      <c r="U19" s="259" t="str">
        <f>IF(VLOOKUP(calculations!$Z$3&amp;T19,lists!C$4:D$5290,2,FALSE)=0,"",VLOOKUP(calculations!$Z$3&amp;T19,lists!C$4:D$5290,2,FALSE))</f>
        <v>FPS</v>
      </c>
      <c r="V19" s="259"/>
      <c r="W19" s="259"/>
    </row>
    <row r="20" spans="1:23" x14ac:dyDescent="0.3">
      <c r="A20" s="6">
        <v>15</v>
      </c>
      <c r="B20" s="259" t="str">
        <f>IF(VLOOKUP(calculations!$G$3&amp;A20,lists!C$4:D$5290,2,FALSE)=0,"",VLOOKUP(calculations!$G$3&amp;A20,lists!C$4:D$5290,2,FALSE))</f>
        <v>FWC</v>
      </c>
      <c r="C20" s="259"/>
      <c r="D20" s="259"/>
      <c r="T20" s="6">
        <v>15</v>
      </c>
      <c r="U20" s="259" t="str">
        <f>IF(VLOOKUP(calculations!$Z$3&amp;T20,lists!C$4:D$5290,2,FALSE)=0,"",VLOOKUP(calculations!$Z$3&amp;T20,lists!C$4:D$5290,2,FALSE))</f>
        <v>FWC</v>
      </c>
      <c r="V20" s="259"/>
      <c r="W20" s="259"/>
    </row>
    <row r="21" spans="1:23" x14ac:dyDescent="0.3">
      <c r="A21" s="6">
        <v>16</v>
      </c>
      <c r="B21" s="259" t="str">
        <f>IF(VLOOKUP(calculations!$G$3&amp;A21,lists!C$4:D$5290,2,FALSE)=0,"",VLOOKUP(calculations!$G$3&amp;A21,lists!C$4:D$5290,2,FALSE))</f>
        <v>Green Door</v>
      </c>
      <c r="C21" s="259"/>
      <c r="D21" s="259"/>
      <c r="T21" s="6">
        <v>16</v>
      </c>
      <c r="U21" s="259" t="str">
        <f>IF(VLOOKUP(calculations!$Z$3&amp;T21,lists!C$4:D$5290,2,FALSE)=0,"",VLOOKUP(calculations!$Z$3&amp;T21,lists!C$4:D$5290,2,FALSE))</f>
        <v>Green Door</v>
      </c>
      <c r="V21" s="259"/>
      <c r="W21" s="259"/>
    </row>
    <row r="22" spans="1:23" x14ac:dyDescent="0.3">
      <c r="A22" s="6">
        <v>17</v>
      </c>
      <c r="B22" s="259" t="str">
        <f>IF(VLOOKUP(calculations!$G$3&amp;A22,lists!C$4:D$5290,2,FALSE)=0,"",VLOOKUP(calculations!$G$3&amp;A22,lists!C$4:D$5290,2,FALSE))</f>
        <v>Hillcrest</v>
      </c>
      <c r="C22" s="259"/>
      <c r="D22" s="259"/>
      <c r="T22" s="6">
        <v>17</v>
      </c>
      <c r="U22" s="259" t="str">
        <f>IF(VLOOKUP(calculations!$Z$3&amp;T22,lists!C$4:D$5290,2,FALSE)=0,"",VLOOKUP(calculations!$Z$3&amp;T22,lists!C$4:D$5290,2,FALSE))</f>
        <v>Hillcrest</v>
      </c>
      <c r="V22" s="259"/>
      <c r="W22" s="259"/>
    </row>
    <row r="23" spans="1:23" x14ac:dyDescent="0.3">
      <c r="A23" s="6">
        <v>18</v>
      </c>
      <c r="B23" s="259" t="str">
        <f>IF(VLOOKUP(calculations!$G$3&amp;A23,lists!C$4:D$5290,2,FALSE)=0,"",VLOOKUP(calculations!$G$3&amp;A23,lists!C$4:D$5290,2,FALSE))</f>
        <v>LAYC</v>
      </c>
      <c r="C23" s="259"/>
      <c r="D23" s="259"/>
      <c r="T23" s="6">
        <v>18</v>
      </c>
      <c r="U23" s="259" t="str">
        <f>IF(VLOOKUP(calculations!$Z$3&amp;T23,lists!C$4:D$5290,2,FALSE)=0,"",VLOOKUP(calculations!$Z$3&amp;T23,lists!C$4:D$5290,2,FALSE))</f>
        <v>LAYC</v>
      </c>
      <c r="V23" s="259"/>
      <c r="W23" s="259"/>
    </row>
    <row r="24" spans="1:23" x14ac:dyDescent="0.3">
      <c r="A24" s="6">
        <v>19</v>
      </c>
      <c r="B24" s="259" t="str">
        <f>IF(VLOOKUP(calculations!$G$3&amp;A24,lists!C$4:D$5290,2,FALSE)=0,"",VLOOKUP(calculations!$G$3&amp;A24,lists!C$4:D$5290,2,FALSE))</f>
        <v>LCS</v>
      </c>
      <c r="C24" s="259"/>
      <c r="D24" s="259"/>
      <c r="T24" s="6">
        <v>19</v>
      </c>
      <c r="U24" s="259" t="str">
        <f>IF(VLOOKUP(calculations!$Z$3&amp;T24,lists!C$4:D$5290,2,FALSE)=0,"",VLOOKUP(calculations!$Z$3&amp;T24,lists!C$4:D$5290,2,FALSE))</f>
        <v>LCS</v>
      </c>
      <c r="V24" s="259"/>
      <c r="W24" s="259"/>
    </row>
    <row r="25" spans="1:23" x14ac:dyDescent="0.3">
      <c r="A25" s="6">
        <v>20</v>
      </c>
      <c r="B25" s="259" t="str">
        <f>IF(VLOOKUP(calculations!$G$3&amp;A25,lists!C$4:D$5290,2,FALSE)=0,"",VLOOKUP(calculations!$G$3&amp;A25,lists!C$4:D$5290,2,FALSE))</f>
        <v>LES</v>
      </c>
      <c r="C25" s="259"/>
      <c r="D25" s="259"/>
      <c r="T25" s="6">
        <v>20</v>
      </c>
      <c r="U25" s="259" t="str">
        <f>IF(VLOOKUP(calculations!$Z$3&amp;T25,lists!C$4:D$5290,2,FALSE)=0,"",VLOOKUP(calculations!$Z$3&amp;T25,lists!C$4:D$5290,2,FALSE))</f>
        <v>LES</v>
      </c>
      <c r="V25" s="259"/>
      <c r="W25" s="259"/>
    </row>
    <row r="26" spans="1:23" x14ac:dyDescent="0.3">
      <c r="A26" s="6">
        <v>21</v>
      </c>
      <c r="B26" s="259" t="str">
        <f>IF(VLOOKUP(calculations!$G$3&amp;A26,lists!C$4:D$5290,2,FALSE)=0,"",VLOOKUP(calculations!$G$3&amp;A26,lists!C$4:D$5290,2,FALSE))</f>
        <v>Marys Center (FF)</v>
      </c>
      <c r="C26" s="259"/>
      <c r="D26" s="259"/>
      <c r="T26" s="6">
        <v>21</v>
      </c>
      <c r="U26" s="259" t="str">
        <f>IF(VLOOKUP(calculations!$Z$3&amp;T26,lists!C$4:D$5290,2,FALSE)=0,"",VLOOKUP(calculations!$Z$3&amp;T26,lists!C$4:D$5290,2,FALSE))</f>
        <v>Marys Center (FF)</v>
      </c>
      <c r="V26" s="259"/>
      <c r="W26" s="259"/>
    </row>
    <row r="27" spans="1:23" x14ac:dyDescent="0.3">
      <c r="A27" s="6">
        <v>22</v>
      </c>
      <c r="B27" s="259" t="str">
        <f>IF(VLOOKUP(calculations!$G$3&amp;A27,lists!C$4:D$5290,2,FALSE)=0,"",VLOOKUP(calculations!$G$3&amp;A27,lists!C$4:D$5290,2,FALSE))</f>
        <v>Marys Center DC Seed</v>
      </c>
      <c r="C27" s="259"/>
      <c r="D27" s="259"/>
      <c r="T27" s="6">
        <v>22</v>
      </c>
      <c r="U27" s="259" t="str">
        <f>IF(VLOOKUP(calculations!$Z$3&amp;T27,lists!C$4:D$5290,2,FALSE)=0,"",VLOOKUP(calculations!$Z$3&amp;T27,lists!C$4:D$5290,2,FALSE))</f>
        <v>Marys Center DC Seed</v>
      </c>
      <c r="V27" s="259"/>
      <c r="W27" s="259"/>
    </row>
    <row r="28" spans="1:23" x14ac:dyDescent="0.3">
      <c r="A28" s="6">
        <v>23</v>
      </c>
      <c r="B28" s="259" t="str">
        <f>IF(VLOOKUP(calculations!$G$3&amp;A28,lists!C$4:D$5290,2,FALSE)=0,"",VLOOKUP(calculations!$G$3&amp;A28,lists!C$4:D$5290,2,FALSE))</f>
        <v>Marys Center (FF &amp; DCS)</v>
      </c>
      <c r="C28" s="259"/>
      <c r="D28" s="259"/>
      <c r="T28" s="6">
        <v>23</v>
      </c>
      <c r="U28" s="259" t="str">
        <f>IF(VLOOKUP(calculations!$Z$3&amp;T28,lists!C$4:D$5290,2,FALSE)=0,"",VLOOKUP(calculations!$Z$3&amp;T28,lists!C$4:D$5290,2,FALSE))</f>
        <v>Marys Center (FF &amp; DCS)</v>
      </c>
      <c r="V28" s="259"/>
      <c r="W28" s="259"/>
    </row>
    <row r="29" spans="1:23" x14ac:dyDescent="0.3">
      <c r="A29" s="6">
        <v>24</v>
      </c>
      <c r="B29" s="259" t="str">
        <f>IF(VLOOKUP(calculations!$G$3&amp;A29,lists!C$4:D$5290,2,FALSE)=0,"",VLOOKUP(calculations!$G$3&amp;A29,lists!C$4:D$5290,2,FALSE))</f>
        <v>MBI HS</v>
      </c>
      <c r="C29" s="259"/>
      <c r="D29" s="259"/>
      <c r="T29" s="6">
        <v>24</v>
      </c>
      <c r="U29" s="259" t="str">
        <f>IF(VLOOKUP(calculations!$Z$3&amp;T29,lists!C$4:D$5290,2,FALSE)=0,"",VLOOKUP(calculations!$Z$3&amp;T29,lists!C$4:D$5290,2,FALSE))</f>
        <v>MBI HS</v>
      </c>
      <c r="V29" s="259"/>
      <c r="W29" s="259"/>
    </row>
    <row r="30" spans="1:23" x14ac:dyDescent="0.3">
      <c r="A30" s="6">
        <v>25</v>
      </c>
      <c r="B30" s="259" t="str">
        <f>IF(VLOOKUP(calculations!$G$3&amp;A30,lists!C$4:D$5290,2,FALSE)=0,"",VLOOKUP(calculations!$G$3&amp;A30,lists!C$4:D$5290,2,FALSE))</f>
        <v>MD Family Resources</v>
      </c>
      <c r="C30" s="259"/>
      <c r="D30" s="259"/>
      <c r="T30" s="6">
        <v>25</v>
      </c>
      <c r="U30" s="259" t="str">
        <f>IF(VLOOKUP(calculations!$Z$3&amp;T30,lists!C$4:D$5290,2,FALSE)=0,"",VLOOKUP(calculations!$Z$3&amp;T30,lists!C$4:D$5290,2,FALSE))</f>
        <v>MD Family Resources</v>
      </c>
      <c r="V30" s="259"/>
      <c r="W30" s="259"/>
    </row>
    <row r="31" spans="1:23" x14ac:dyDescent="0.3">
      <c r="A31" s="6">
        <v>26</v>
      </c>
      <c r="B31" s="259" t="str">
        <f>IF(VLOOKUP(calculations!$G$3&amp;A31,lists!C$4:D$5290,2,FALSE)=0,"",VLOOKUP(calculations!$G$3&amp;A31,lists!C$4:D$5290,2,FALSE))</f>
        <v>MedStar Georgetown</v>
      </c>
      <c r="C31" s="259"/>
      <c r="D31" s="259"/>
      <c r="T31" s="6">
        <v>26</v>
      </c>
      <c r="U31" s="259" t="str">
        <f>IF(VLOOKUP(calculations!$Z$3&amp;T31,lists!C$4:D$5290,2,FALSE)=0,"",VLOOKUP(calculations!$Z$3&amp;T31,lists!C$4:D$5290,2,FALSE))</f>
        <v>MedStar Georgetown</v>
      </c>
      <c r="V31" s="259"/>
      <c r="W31" s="259"/>
    </row>
    <row r="32" spans="1:23" x14ac:dyDescent="0.3">
      <c r="A32" s="6">
        <v>27</v>
      </c>
      <c r="B32" s="259" t="str">
        <f>IF(VLOOKUP(calculations!$G$3&amp;A32,lists!C$4:D$5290,2,FALSE)=0,"",VLOOKUP(calculations!$G$3&amp;A32,lists!C$4:D$5290,2,FALSE))</f>
        <v>PASS</v>
      </c>
      <c r="C32" s="259"/>
      <c r="D32" s="259"/>
      <c r="T32" s="6">
        <v>27</v>
      </c>
      <c r="U32" s="259" t="str">
        <f>IF(VLOOKUP(calculations!$Z$3&amp;T32,lists!C$4:D$5290,2,FALSE)=0,"",VLOOKUP(calculations!$Z$3&amp;T32,lists!C$4:D$5290,2,FALSE))</f>
        <v>PASS</v>
      </c>
      <c r="V32" s="259"/>
      <c r="W32" s="259"/>
    </row>
    <row r="33" spans="1:34" x14ac:dyDescent="0.3">
      <c r="A33" s="6">
        <v>28</v>
      </c>
      <c r="B33" s="259" t="str">
        <f>IF(VLOOKUP(calculations!$G$3&amp;A33,lists!C$4:D$5290,2,FALSE)=0,"",VLOOKUP(calculations!$G$3&amp;A33,lists!C$4:D$5290,2,FALSE))</f>
        <v>PIECE (FF)</v>
      </c>
      <c r="C33" s="259"/>
      <c r="D33" s="259"/>
      <c r="T33" s="6">
        <v>28</v>
      </c>
      <c r="U33" s="259" t="str">
        <f>IF(VLOOKUP(calculations!$Z$3&amp;T33,lists!C$4:D$5290,2,FALSE)=0,"",VLOOKUP(calculations!$Z$3&amp;T33,lists!C$4:D$5290,2,FALSE))</f>
        <v>PIECE (FF)</v>
      </c>
      <c r="V33" s="259"/>
      <c r="W33" s="259"/>
    </row>
    <row r="34" spans="1:34" x14ac:dyDescent="0.3">
      <c r="A34" s="6">
        <v>29</v>
      </c>
      <c r="B34" s="259" t="str">
        <f>IF(VLOOKUP(calculations!$G$3&amp;A34,lists!C$4:D$5290,2,FALSE)=0,"",VLOOKUP(calculations!$G$3&amp;A34,lists!C$4:D$5290,2,FALSE))</f>
        <v>PIECE DC Seed</v>
      </c>
      <c r="C34" s="259"/>
      <c r="D34" s="259"/>
      <c r="T34" s="6">
        <v>29</v>
      </c>
      <c r="U34" s="259" t="str">
        <f>IF(VLOOKUP(calculations!$Z$3&amp;T34,lists!C$4:D$5290,2,FALSE)=0,"",VLOOKUP(calculations!$Z$3&amp;T34,lists!C$4:D$5290,2,FALSE))</f>
        <v>PIECE DC Seed</v>
      </c>
      <c r="V34" s="259"/>
      <c r="W34" s="259"/>
    </row>
    <row r="35" spans="1:34" x14ac:dyDescent="0.3">
      <c r="A35" s="6">
        <v>30</v>
      </c>
      <c r="B35" s="259" t="str">
        <f>IF(VLOOKUP(calculations!$G$3&amp;A35,lists!C$4:D$5290,2,FALSE)=0,"",VLOOKUP(calculations!$G$3&amp;A35,lists!C$4:D$5290,2,FALSE))</f>
        <v>PIECE (FF &amp; DCS)</v>
      </c>
      <c r="C35" s="259"/>
      <c r="D35" s="259"/>
      <c r="T35" s="6">
        <v>30</v>
      </c>
      <c r="U35" s="259" t="str">
        <f>IF(VLOOKUP(calculations!$Z$3&amp;T35,lists!C$4:D$5290,2,FALSE)=0,"",VLOOKUP(calculations!$Z$3&amp;T35,lists!C$4:D$5290,2,FALSE))</f>
        <v>PIECE (FF &amp; DCS)</v>
      </c>
      <c r="V35" s="259"/>
      <c r="W35" s="259"/>
    </row>
    <row r="36" spans="1:34" x14ac:dyDescent="0.3">
      <c r="A36" s="6">
        <v>31</v>
      </c>
      <c r="B36" s="259" t="str">
        <f>IF(VLOOKUP(calculations!$G$3&amp;A36,lists!C$4:D$5290,2,FALSE)=0,"",VLOOKUP(calculations!$G$3&amp;A36,lists!C$4:D$5290,2,FALSE))</f>
        <v>PSI Family Services</v>
      </c>
      <c r="C36" s="259"/>
      <c r="D36" s="259"/>
      <c r="T36" s="6">
        <v>31</v>
      </c>
      <c r="U36" s="259" t="str">
        <f>IF(VLOOKUP(calculations!$Z$3&amp;T36,lists!C$4:D$5290,2,FALSE)=0,"",VLOOKUP(calculations!$Z$3&amp;T36,lists!C$4:D$5290,2,FALSE))</f>
        <v>PSI Family Services</v>
      </c>
      <c r="V36" s="259"/>
      <c r="W36" s="259"/>
    </row>
    <row r="37" spans="1:34" x14ac:dyDescent="0.3">
      <c r="A37" s="6">
        <v>32</v>
      </c>
      <c r="B37" s="259" t="str">
        <f>IF(VLOOKUP(calculations!$G$3&amp;A37,lists!C$4:D$5290,2,FALSE)=0,"",VLOOKUP(calculations!$G$3&amp;A37,lists!C$4:D$5290,2,FALSE))</f>
        <v>Riverside</v>
      </c>
      <c r="C37" s="259"/>
      <c r="D37" s="259"/>
      <c r="T37" s="6">
        <v>32</v>
      </c>
      <c r="U37" s="259" t="str">
        <f>IF(VLOOKUP(calculations!$Z$3&amp;T37,lists!C$4:D$5290,2,FALSE)=0,"",VLOOKUP(calculations!$Z$3&amp;T37,lists!C$4:D$5290,2,FALSE))</f>
        <v>Riverside</v>
      </c>
      <c r="V37" s="259"/>
      <c r="W37" s="259"/>
    </row>
    <row r="38" spans="1:34" x14ac:dyDescent="0.3">
      <c r="A38" s="6">
        <v>33</v>
      </c>
      <c r="B38" s="259" t="str">
        <f>IF(VLOOKUP(calculations!$G$3&amp;A38,lists!C$4:D$5290,2,FALSE)=0,"",VLOOKUP(calculations!$G$3&amp;A38,lists!C$4:D$5290,2,FALSE))</f>
        <v>TFCC</v>
      </c>
      <c r="C38" s="259"/>
      <c r="D38" s="259"/>
      <c r="T38" s="6">
        <v>33</v>
      </c>
      <c r="U38" s="259" t="str">
        <f>IF(VLOOKUP(calculations!$Z$3&amp;T38,lists!C$4:D$5290,2,FALSE)=0,"",VLOOKUP(calculations!$Z$3&amp;T38,lists!C$4:D$5290,2,FALSE))</f>
        <v>TFCC</v>
      </c>
      <c r="V38" s="259"/>
      <c r="W38" s="259"/>
    </row>
    <row r="39" spans="1:34" x14ac:dyDescent="0.3">
      <c r="A39" s="6">
        <v>34</v>
      </c>
      <c r="B39" s="259" t="str">
        <f>IF(VLOOKUP(calculations!$G$3&amp;A39,lists!C$4:D$5290,2,FALSE)=0,"",VLOOKUP(calculations!$G$3&amp;A39,lists!C$4:D$5290,2,FALSE))</f>
        <v>Umbrella</v>
      </c>
      <c r="C39" s="259"/>
      <c r="D39" s="259"/>
      <c r="T39" s="6">
        <v>34</v>
      </c>
      <c r="U39" s="259" t="str">
        <f>IF(VLOOKUP(calculations!$Z$3&amp;T39,lists!C$4:D$5290,2,FALSE)=0,"",VLOOKUP(calculations!$Z$3&amp;T39,lists!C$4:D$5290,2,FALSE))</f>
        <v>Umbrella</v>
      </c>
      <c r="V39" s="259"/>
      <c r="W39" s="259"/>
    </row>
    <row r="40" spans="1:34" x14ac:dyDescent="0.3">
      <c r="A40" s="6">
        <v>35</v>
      </c>
      <c r="B40" s="259" t="str">
        <f>IF(VLOOKUP(calculations!$G$3&amp;A40,lists!C$4:D$5290,2,FALSE)=0,"",VLOOKUP(calculations!$G$3&amp;A40,lists!C$4:D$5290,2,FALSE))</f>
        <v>Universal</v>
      </c>
      <c r="C40" s="259"/>
      <c r="D40" s="259"/>
      <c r="T40" s="6">
        <v>35</v>
      </c>
      <c r="U40" s="259" t="str">
        <f>IF(VLOOKUP(calculations!$Z$3&amp;T40,lists!C$4:D$5290,2,FALSE)=0,"",VLOOKUP(calculations!$Z$3&amp;T40,lists!C$4:D$5290,2,FALSE))</f>
        <v>Universal</v>
      </c>
      <c r="V40" s="259"/>
      <c r="W40" s="259"/>
    </row>
    <row r="41" spans="1:34" x14ac:dyDescent="0.3">
      <c r="A41" s="6">
        <v>36</v>
      </c>
      <c r="B41" s="259" t="str">
        <f>IF(VLOOKUP(calculations!$G$3&amp;A41,lists!C$4:D$5290,2,FALSE)=0,"",VLOOKUP(calculations!$G$3&amp;A41,lists!C$4:D$5290,2,FALSE))</f>
        <v>Wayne Place</v>
      </c>
      <c r="C41" s="259"/>
      <c r="D41" s="259"/>
      <c r="T41" s="6">
        <v>36</v>
      </c>
      <c r="U41" s="259" t="str">
        <f>IF(VLOOKUP(calculations!$Z$3&amp;T41,lists!C$4:D$5290,2,FALSE)=0,"",VLOOKUP(calculations!$Z$3&amp;T41,lists!C$4:D$5290,2,FALSE))</f>
        <v>Wayne Place</v>
      </c>
      <c r="V41" s="259"/>
      <c r="W41" s="259"/>
    </row>
    <row r="42" spans="1:34" x14ac:dyDescent="0.3">
      <c r="A42" s="6">
        <v>37</v>
      </c>
      <c r="B42" s="259" t="str">
        <f>IF(VLOOKUP(calculations!$G$3&amp;A42,lists!C$4:D$5290,2,FALSE)=0,"",VLOOKUP(calculations!$G$3&amp;A42,lists!C$4:D$5290,2,FALSE))</f>
        <v>Youth Villages</v>
      </c>
      <c r="C42" s="259"/>
      <c r="D42" s="259"/>
      <c r="T42" s="6">
        <v>37</v>
      </c>
      <c r="U42" s="259" t="str">
        <f>IF(VLOOKUP(calculations!$Z$3&amp;T42,lists!C$4:D$5290,2,FALSE)=0,"",VLOOKUP(calculations!$Z$3&amp;T42,lists!C$4:D$5290,2,FALSE))</f>
        <v>Youth Villages</v>
      </c>
      <c r="V42" s="259"/>
      <c r="W42" s="259"/>
    </row>
    <row r="43" spans="1:34" x14ac:dyDescent="0.3">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x14ac:dyDescent="0.3">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x14ac:dyDescent="0.3">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x14ac:dyDescent="0.3">
      <c r="A46" t="str">
        <f>calculations!$L$3&amp;calculations!$G$3&amp;" "&amp;calculations!$B$3&amp;calculations!$B46</f>
        <v>AllAll Combined45323</v>
      </c>
      <c r="B46" s="17">
        <f>IF(B48="","",INDEX(lists!F$5:H$200,MATCH(B48,lists!H$5:H$200,1)-1,3))</f>
        <v>45323</v>
      </c>
      <c r="F46" s="14">
        <f>SUMIF(data2!$B$2:$B$40000,calculations!$A46,data2!$I$2:$I$40000)</f>
        <v>289</v>
      </c>
      <c r="N46" s="14">
        <f>SUMIF(data2!$B$2:$B$40000,calculations!$A46,data2!S$2:S$40000)</f>
        <v>54</v>
      </c>
      <c r="O46" s="14">
        <f>SUMIF(data2!$B$2:$B$40000,calculations!$A46,data2!N$2:N$40000)</f>
        <v>235</v>
      </c>
      <c r="T46" t="str">
        <f>calculations!$AE$3&amp;calculations!$Z$3&amp;" "&amp;calculations!$U$3&amp;calculations!$U46</f>
        <v>AllAll Combined44958</v>
      </c>
      <c r="U46" s="17">
        <f>IF(U48="","",INDEX(lists!F$5:H$200,MATCH(U48,lists!H$5:H$200,1)-1,3))</f>
        <v>44958</v>
      </c>
      <c r="Y46" s="14">
        <f>SUMIF(data2!$B$2:$B$40000,calculations!$T46,data2!I$2:I$40000)</f>
        <v>279</v>
      </c>
      <c r="AG46" s="14">
        <f>SUMIF(data2!$B$2:$B$40000,calculations!$T46,data2!S$2:S$40000)</f>
        <v>22</v>
      </c>
      <c r="AH46" s="14">
        <f>SUMIF(data2!$B$2:$B$40000,calculations!$T46,data2!N$2:N$40000)</f>
        <v>257</v>
      </c>
    </row>
    <row r="47" spans="1:34" ht="28.8" x14ac:dyDescent="0.3">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x14ac:dyDescent="0.3">
      <c r="A48" t="str">
        <f>calculations!$L$3&amp;calculations!$G$3&amp;" "&amp;calculations!$B$3&amp;calculations!$B48</f>
        <v>AllAll Combined45352</v>
      </c>
      <c r="B48" s="17">
        <f>VLOOKUP(display!G5,lists!G5:H200,2,FALSE)</f>
        <v>45352</v>
      </c>
      <c r="C48" s="14">
        <f>IF(B48="","",IF(SUMIF(data2!$B$2:$B$40003,calculations!$A48,data2!F$2:F$40003)=0,"",SUMIF(data2!$B$2:$B$40003,calculations!$A48,data2!F$2:F$40003)))</f>
        <v>68.5</v>
      </c>
      <c r="D48" s="14">
        <f>IF(B48="","",IF(SUMIF(data2!$B$2:$B$40003,calculations!$A48,data2!G$2:G$40003)=0,"",SUMIF(data2!$B$2:$B$40003,calculations!$A48,data2!G$2:G$40003)))</f>
        <v>87.5</v>
      </c>
      <c r="E48" s="8">
        <f t="shared" ref="E48:E59" si="0">IF(B48="","",IF(D48="","",C48/D48))</f>
        <v>0.78285714285714281</v>
      </c>
      <c r="F48" s="14">
        <f>IF($B48="","",IF(SUMIF(data2!$B$2:$B$40003,calculations!$A48,data2!I$2:I$40003)=0,0,SUMIF(data2!$B$2:$B$40003,calculations!$A48,data2!I$2:I$40003)))</f>
        <v>292</v>
      </c>
      <c r="G48" s="14">
        <f>IF($B48="","",IF(SUMIF(data2!$B$2:$B$40003,calculations!$A48,data2!J$2:J$40003)=0,"",SUMIF(data2!$B$2:$B$40003,calculations!$A48,data2!J$2:J$40003)))</f>
        <v>487</v>
      </c>
      <c r="H48" s="8">
        <f t="shared" ref="H48:H60" si="1">F48/G48</f>
        <v>0.59958932238193019</v>
      </c>
      <c r="I48" s="14">
        <f>IF($B48="","",IF(SUMIF(data2!$B$2:$B$40003,calculations!$A48,data2!L$2:L$40003)=0,"",SUMIF(data2!$B$2:$B$40003,calculations!$A48,data2!L$2:L$40003)))</f>
        <v>618</v>
      </c>
      <c r="J48" s="8">
        <f t="shared" ref="J48:J59" si="2">IF(G48="","",IF(I48="","",G48/I48))</f>
        <v>0.78802588996763756</v>
      </c>
      <c r="K48" s="14">
        <f>IF($B48="","",IF(SUMIF(data2!$B$2:$B$40003,calculations!$A48,data2!P$2:P$40003)=0,IF(L48="","",0),SUMIF(data2!$B$2:$B$40003,calculations!$A48,data2!P$2:P$40003)))</f>
        <v>26</v>
      </c>
      <c r="L48" s="14">
        <f>IF($B48="","",IF(SUMIF(data2!$B$2:$B$40003,calculations!$A48,data2!Q$2:Q$40003)=0,0,SUMIF(data2!$B$2:$B$40003,calculations!$A48,data2!Q$2:Q$40003)))</f>
        <v>41</v>
      </c>
      <c r="M48" s="8">
        <f t="shared" ref="M48:M61" si="3">IF(B48="","",IF(L48="","",IFERROR(K48/L48,0)))</f>
        <v>0.63414634146341464</v>
      </c>
      <c r="N48" s="14">
        <f>IF(B48="","",SUMIF(data2!$B$2:$B$40003,calculations!$A48,data2!S$2:S$40003))</f>
        <v>45</v>
      </c>
      <c r="O48" s="14">
        <f>IF(B48="","",SUMIF(data2!$B$2:$B$40003,calculations!$A48,data2!N$2:N$40003))</f>
        <v>247</v>
      </c>
      <c r="T48" t="str">
        <f>calculations!$AE$3&amp;calculations!$Z$3&amp;" "&amp;calculations!$U$3&amp;calculations!$U48</f>
        <v>AllAll Combined44986</v>
      </c>
      <c r="U48" s="17">
        <f>VLOOKUP(display!Y5,lists!G5:H200,2,FALSE)</f>
        <v>44986</v>
      </c>
      <c r="V48" s="14">
        <f>IF(U48="","",IF(SUMIF(data2!$B$2:$B$40003,calculations!$T48,data2!F$2:F$40003)=0,"",SUMIF(data2!$B$2:$B$40003,calculations!$T48,data2!F$2:F$40003)))</f>
        <v>70.5</v>
      </c>
      <c r="W48" s="14">
        <f>IF(U48="","",IF(SUMIF(data2!$B$2:$B$40003,calculations!$T48,data2!G$2:G$40003)=0,"",SUMIF(data2!$B$2:$B$40003,calculations!$T48,data2!G$2:G$40003)))</f>
        <v>76</v>
      </c>
      <c r="X48" s="8">
        <f t="shared" ref="X48:X59" si="4">IF(U48="","",IF(W48="","",V48/W48))</f>
        <v>0.92763157894736847</v>
      </c>
      <c r="Y48" s="14">
        <f>IF($U48="","",IF(SUMIF(data2!$B$2:$B$40003,calculations!$T48,data2!I$2:I$40003)=0,"",SUMIF(data2!$B$2:$B$40003,calculations!$T48,data2!I$2:I$40003)))</f>
        <v>286</v>
      </c>
      <c r="Z48" s="14">
        <f>IF($U48="","",IF(SUMIF(data2!$B$2:$B$40003,calculations!$T48,data2!J$2:J$40003)=0,"",SUMIF(data2!$B$2:$B$40003,calculations!$T48,data2!J$2:J$40003)))</f>
        <v>577</v>
      </c>
      <c r="AA48" s="8">
        <f t="shared" ref="AA48:AA59" si="5">IF(X48="","",IF(Z48=0,"",Y48/Z48))</f>
        <v>0.49566724436741766</v>
      </c>
      <c r="AB48" s="14">
        <f>IF($U48="","",IF(SUMIF(data2!$B$2:$B$40003,calculations!$T48,data2!L$2:L$40003)=0,"",SUMIF(data2!$B$2:$B$40003,calculations!$T48,data2!L$2:L$40003)))</f>
        <v>607</v>
      </c>
      <c r="AC48" s="8">
        <f t="shared" ref="AC48:AC59" si="6">IF(Z48="","",Z48/AB48)</f>
        <v>0.9505766062602965</v>
      </c>
      <c r="AD48" s="14">
        <f>IF($U48="","",IF(SUMIF(data2!$B$2:$B$40003,calculations!$T48,data2!P$2:P$40003)=0,IF(AE48="","",0),SUMIF(data2!$B$2:$B$40003,calculations!$T48,data2!P$2:P$40003)))</f>
        <v>24</v>
      </c>
      <c r="AE48" s="14">
        <f>IF($U48="","",IF(SUMIF(data2!$B$2:$B$40003,calculations!$T48,data2!Q$2:Q$40003)=0,0,SUMIF(data2!$B$2:$B$40003,calculations!$T48,data2!Q$2:Q$40003)))</f>
        <v>35</v>
      </c>
      <c r="AF48" s="8">
        <f>IF(U48="","",IF(AE48="","",AD48/AE48))</f>
        <v>0.68571428571428572</v>
      </c>
      <c r="AG48" s="14">
        <f>IF(U48="","",SUMIF(data2!$B$2:$B$40003,calculations!$T48,data2!S$2:S$40003))</f>
        <v>39</v>
      </c>
      <c r="AH48" s="14">
        <f>IF(U48="","",SUMIF(data2!$B$2:$B$40003,calculations!$T48,data2!N$2:N$40003))</f>
        <v>247</v>
      </c>
    </row>
    <row r="49" spans="1:34" x14ac:dyDescent="0.3">
      <c r="A49" t="str">
        <f>calculations!$L$3&amp;calculations!$G$3&amp;" "&amp;calculations!$B$3&amp;calculations!$B49</f>
        <v>AllAll Combined45383</v>
      </c>
      <c r="B49" s="17">
        <f>IFERROR(IF(INDEX(lists!F$5:H$200,MATCH(B48,lists!H$5:H$200,1)+1,3)&gt;VLOOKUP(display!$L$5,lists!G$5:I$200,2,FALSE),"",INDEX(lists!F$5:H$200,MATCH(B48,lists!H$5:H$200,1)+1,3)),"")</f>
        <v>45383</v>
      </c>
      <c r="C49" s="14">
        <f>IF(B49="","",IF(SUMIF(data2!$B$2:$B$40003,calculations!$A49,data2!F$2:F$40003)=0,"",SUMIF(data2!$B$2:$B$40003,calculations!$A49,data2!F$2:F$40003)))</f>
        <v>68.5</v>
      </c>
      <c r="D49" s="14">
        <f>IF(B49="","",IF(SUMIF(data2!$B$2:$B$40003,calculations!$A49,data2!G$2:G$40003)=0,"",SUMIF(data2!$B$2:$B$40003,calculations!$A49,data2!G$2:G$40003)))</f>
        <v>89</v>
      </c>
      <c r="E49" s="8">
        <f t="shared" si="0"/>
        <v>0.7696629213483146</v>
      </c>
      <c r="F49" s="14">
        <f>IF($B49="","",IF(SUMIF(data2!$B$2:$B$40003,calculations!$A49,data2!I$2:I$40003)=0,0,SUMIF(data2!$B$2:$B$40003,calculations!$A49,data2!I$2:I$40003)))</f>
        <v>282</v>
      </c>
      <c r="G49" s="14">
        <f>IF($B49="","",IF(SUMIF(data2!$B$2:$B$40003,calculations!$A49,data2!J$2:J$40003)=0,"",SUMIF(data2!$B$2:$B$40003,calculations!$A49,data2!J$2:J$40003)))</f>
        <v>479</v>
      </c>
      <c r="H49" s="8">
        <f t="shared" si="1"/>
        <v>0.58872651356993733</v>
      </c>
      <c r="I49" s="14">
        <f>IF($B49="","",IF(SUMIF(data2!$B$2:$B$40003,calculations!$A49,data2!L$2:L$40003)=0,"",SUMIF(data2!$B$2:$B$40003,calculations!$A49,data2!L$2:L$40003)))</f>
        <v>626</v>
      </c>
      <c r="J49" s="8">
        <f t="shared" si="2"/>
        <v>0.76517571884984026</v>
      </c>
      <c r="K49" s="14">
        <f>IF($B49="","",IF(SUMIF(data2!$B$2:$B$40003,calculations!$A49,data2!P$2:P$40003)=0,IF(L49="","",0),SUMIF(data2!$B$2:$B$40003,calculations!$A49,data2!P$2:P$40003)))</f>
        <v>21</v>
      </c>
      <c r="L49" s="14">
        <f>IF($B49="","",IF(SUMIF(data2!$B$2:$B$40003,calculations!$A49,data2!Q$2:Q$40003)=0,0,SUMIF(data2!$B$2:$B$40003,calculations!$A49,data2!Q$2:Q$40003)))</f>
        <v>33</v>
      </c>
      <c r="M49" s="8">
        <f t="shared" si="3"/>
        <v>0.63636363636363635</v>
      </c>
      <c r="N49" s="14">
        <f>IF(B49="","",SUMIF(data2!$B$2:$B$40003,calculations!$A49,data2!S$2:S$40003))</f>
        <v>23</v>
      </c>
      <c r="O49" s="14">
        <f>IF(B49="","",SUMIF(data2!$B$2:$B$40003,calculations!$A49,data2!N$2:N$40003))</f>
        <v>259</v>
      </c>
      <c r="T49" t="str">
        <f>calculations!$AE$3&amp;calculations!$Z$3&amp;" "&amp;calculations!$U$3&amp;calculations!$U49</f>
        <v>AllAll Combined45017</v>
      </c>
      <c r="U49" s="17">
        <f>IFERROR(IF(INDEX(lists!F$5:H$200,MATCH(U48,lists!H$5:H$200,1)+1,3)&gt;VLOOKUP(display!$AD$5,lists!G$5:I$200,2,FALSE),"",INDEX(lists!F$5:H$200,MATCH(U48,lists!H$5:H$200,1)+1,3)),"")</f>
        <v>45017</v>
      </c>
      <c r="V49" s="14">
        <f>IF(U49="","",IF(SUMIF(data2!$B$2:$B$40003,calculations!$T49,data2!F$2:F$40003)=0,"",SUMIF(data2!$B$2:$B$40003,calculations!$T49,data2!F$2:F$40003)))</f>
        <v>70</v>
      </c>
      <c r="W49" s="14">
        <f>IF(U49="","",IF(SUMIF(data2!$B$2:$B$40003,calculations!$T49,data2!G$2:G$40003)=0,"",SUMIF(data2!$B$2:$B$40003,calculations!$T49,data2!G$2:G$40003)))</f>
        <v>77.5</v>
      </c>
      <c r="X49" s="8">
        <f t="shared" si="4"/>
        <v>0.90322580645161288</v>
      </c>
      <c r="Y49" s="14">
        <f>IF($U49="","",IF(SUMIF(data2!$B$2:$B$40003,calculations!$T49,data2!I$2:I$40003)=0,"",SUMIF(data2!$B$2:$B$40003,calculations!$T49,data2!I$2:I$40003)))</f>
        <v>286</v>
      </c>
      <c r="Z49" s="14">
        <f>IF($U49="","",IF(SUMIF(data2!$B$2:$B$40003,calculations!$T49,data2!J$2:J$40003)=0,"",SUMIF(data2!$B$2:$B$40003,calculations!$T49,data2!J$2:J$40003)))</f>
        <v>573</v>
      </c>
      <c r="AA49" s="8">
        <f t="shared" si="5"/>
        <v>0.49912739965095987</v>
      </c>
      <c r="AB49" s="14">
        <f>IF($U49="","",IF(SUMIF(data2!$B$2:$B$40003,calculations!$T49,data2!L$2:L$40003)=0,"",SUMIF(data2!$B$2:$B$40003,calculations!$T49,data2!L$2:L$40003)))</f>
        <v>607</v>
      </c>
      <c r="AC49" s="8">
        <f t="shared" si="6"/>
        <v>0.94398682042833604</v>
      </c>
      <c r="AD49" s="14">
        <f>IF($U49="","",IF(SUMIF(data2!$B$2:$B$40003,calculations!$T49,data2!P$2:P$40003)=0,IF(AE49="","",0),SUMIF(data2!$B$2:$B$40003,calculations!$T49,data2!P$2:P$40003)))</f>
        <v>13</v>
      </c>
      <c r="AE49" s="14">
        <f>IF($U49="","",IF(SUMIF(data2!$B$2:$B$40003,calculations!$T49,data2!Q$2:Q$40003)=0,0,SUMIF(data2!$B$2:$B$40003,calculations!$T49,data2!Q$2:Q$40003)))</f>
        <v>30</v>
      </c>
      <c r="AF49" s="8">
        <f t="shared" ref="AF49:AF59" si="7">IF(U49="","",IF(AE49="","",AD49/AE49))</f>
        <v>0.43333333333333335</v>
      </c>
      <c r="AG49" s="14">
        <f>IF(U49="","",SUMIF(data2!$B$2:$B$40003,calculations!$T49,data2!S$2:S$40003))</f>
        <v>36</v>
      </c>
      <c r="AH49" s="14">
        <f>IF(U49="","",SUMIF(data2!$B$2:$B$40003,calculations!$T49,data2!N$2:N$40003))</f>
        <v>250</v>
      </c>
    </row>
    <row r="50" spans="1:34" x14ac:dyDescent="0.3">
      <c r="A50" t="str">
        <f>calculations!$L$3&amp;calculations!$G$3&amp;" "&amp;calculations!$B$3&amp;calculations!$B50</f>
        <v>AllAll Combined45413</v>
      </c>
      <c r="B50" s="17">
        <f>IFERROR(IF(INDEX(lists!F$5:H$200,MATCH(B49,lists!H$5:H$200,1)+1,3)&gt;VLOOKUP(display!$L$5,lists!G$5:I$200,2,FALSE),"",INDEX(lists!F$5:H$200,MATCH(B49,lists!H$5:H$200,1)+1,3)),"")</f>
        <v>45413</v>
      </c>
      <c r="C50" s="14">
        <f>IF(B50="","",IF(SUMIF(data2!$B$2:$B$40003,calculations!$A50,data2!F$2:F$40003)=0,"",SUMIF(data2!$B$2:$B$40003,calculations!$A50,data2!F$2:F$40003)))</f>
        <v>67</v>
      </c>
      <c r="D50" s="14">
        <f>IF(B50="","",IF(SUMIF(data2!$B$2:$B$40003,calculations!$A50,data2!G$2:G$40003)=0,"",SUMIF(data2!$B$2:$B$40003,calculations!$A50,data2!G$2:G$40003)))</f>
        <v>89</v>
      </c>
      <c r="E50" s="8">
        <f t="shared" si="0"/>
        <v>0.7528089887640449</v>
      </c>
      <c r="F50" s="14">
        <f>IF($B50="","",IF(SUMIF(data2!$B$2:$B$40003,calculations!$A50,data2!I$2:I$40003)=0,0,SUMIF(data2!$B$2:$B$40003,calculations!$A50,data2!I$2:I$40003)))</f>
        <v>299</v>
      </c>
      <c r="G50" s="14">
        <f>IF($B50="","",IF(SUMIF(data2!$B$2:$B$40003,calculations!$A50,data2!J$2:J$40003)=0,"",SUMIF(data2!$B$2:$B$40003,calculations!$A50,data2!J$2:J$40003)))</f>
        <v>475</v>
      </c>
      <c r="H50" s="8">
        <f t="shared" si="1"/>
        <v>0.6294736842105263</v>
      </c>
      <c r="I50" s="14">
        <f>IF($B50="","",IF(SUMIF(data2!$B$2:$B$40003,calculations!$A50,data2!L$2:L$40003)=0,"",SUMIF(data2!$B$2:$B$40003,calculations!$A50,data2!L$2:L$40003)))</f>
        <v>626</v>
      </c>
      <c r="J50" s="8">
        <f t="shared" si="2"/>
        <v>0.75878594249201281</v>
      </c>
      <c r="K50" s="14">
        <f>IF($B50="","",IF(SUMIF(data2!$B$2:$B$40003,calculations!$A50,data2!P$2:P$40003)=0,IF(L50="","",0),SUMIF(data2!$B$2:$B$40003,calculations!$A50,data2!P$2:P$40003)))</f>
        <v>19</v>
      </c>
      <c r="L50" s="14">
        <f>IF($B50="","",IF(SUMIF(data2!$B$2:$B$40003,calculations!$A50,data2!Q$2:Q$40003)=0,0,SUMIF(data2!$B$2:$B$40003,calculations!$A50,data2!Q$2:Q$40003)))</f>
        <v>25</v>
      </c>
      <c r="M50" s="8">
        <f t="shared" si="3"/>
        <v>0.76</v>
      </c>
      <c r="N50" s="14">
        <f>IF(B50="","",SUMIF(data2!$B$2:$B$40003,calculations!$A50,data2!S$2:S$40003))</f>
        <v>39</v>
      </c>
      <c r="O50" s="14">
        <f>IF(B50="","",SUMIF(data2!$B$2:$B$40003,calculations!$A50,data2!N$2:N$40003))</f>
        <v>260</v>
      </c>
      <c r="T50" t="str">
        <f>calculations!$AE$3&amp;calculations!$Z$3&amp;" "&amp;calculations!$U$3&amp;calculations!$U50</f>
        <v>AllAll Combined45047</v>
      </c>
      <c r="U50" s="17">
        <f>IFERROR(IF(INDEX(lists!F$5:H$200,MATCH(U49,lists!H$5:H$200,1)+1,3)&gt;VLOOKUP(display!$AD$5,lists!G$5:I$200,2,FALSE),"",INDEX(lists!F$5:H$200,MATCH(U49,lists!H$5:H$200,1)+1,3)),"")</f>
        <v>45047</v>
      </c>
      <c r="V50" s="14">
        <f>IF(U50="","",IF(SUMIF(data2!$B$2:$B$40003,calculations!$T50,data2!F$2:F$40003)=0,"",SUMIF(data2!$B$2:$B$40003,calculations!$T50,data2!F$2:F$40003)))</f>
        <v>66.5</v>
      </c>
      <c r="W50" s="14">
        <f>IF(U50="","",IF(SUMIF(data2!$B$2:$B$40003,calculations!$T50,data2!G$2:G$40003)=0,"",SUMIF(data2!$B$2:$B$40003,calculations!$T50,data2!G$2:G$40003)))</f>
        <v>77.5</v>
      </c>
      <c r="X50" s="8">
        <f t="shared" si="4"/>
        <v>0.85806451612903223</v>
      </c>
      <c r="Y50" s="14">
        <f>IF($U50="","",IF(SUMIF(data2!$B$2:$B$40003,calculations!$T50,data2!I$2:I$40003)=0,"",SUMIF(data2!$B$2:$B$40003,calculations!$T50,data2!I$2:I$40003)))</f>
        <v>278</v>
      </c>
      <c r="Z50" s="14">
        <f>IF($U50="","",IF(SUMIF(data2!$B$2:$B$40003,calculations!$T50,data2!J$2:J$40003)=0,"",SUMIF(data2!$B$2:$B$40003,calculations!$T50,data2!J$2:J$40003)))</f>
        <v>538</v>
      </c>
      <c r="AA50" s="8">
        <f t="shared" si="5"/>
        <v>0.51672862453531598</v>
      </c>
      <c r="AB50" s="14">
        <f>IF($U50="","",IF(SUMIF(data2!$B$2:$B$40003,calculations!$T50,data2!L$2:L$40003)=0,"",SUMIF(data2!$B$2:$B$40003,calculations!$T50,data2!L$2:L$40003)))</f>
        <v>607</v>
      </c>
      <c r="AC50" s="8">
        <f t="shared" si="6"/>
        <v>0.88632619439868199</v>
      </c>
      <c r="AD50" s="14">
        <f>IF($U50="","",IF(SUMIF(data2!$B$2:$B$40003,calculations!$T50,data2!P$2:P$40003)=0,IF(AE50="","",0),SUMIF(data2!$B$2:$B$40003,calculations!$T50,data2!P$2:P$40003)))</f>
        <v>12</v>
      </c>
      <c r="AE50" s="14">
        <f>IF($U50="","",IF(SUMIF(data2!$B$2:$B$40003,calculations!$T50,data2!Q$2:Q$40003)=0,0,SUMIF(data2!$B$2:$B$40003,calculations!$T50,data2!Q$2:Q$40003)))</f>
        <v>21</v>
      </c>
      <c r="AF50" s="8">
        <f t="shared" si="7"/>
        <v>0.5714285714285714</v>
      </c>
      <c r="AG50" s="14">
        <f>IF(U50="","",SUMIF(data2!$B$2:$B$40003,calculations!$T50,data2!S$2:S$40003))</f>
        <v>15</v>
      </c>
      <c r="AH50" s="14">
        <f>IF(U50="","",SUMIF(data2!$B$2:$B$40003,calculations!$T50,data2!N$2:N$40003))</f>
        <v>263</v>
      </c>
    </row>
    <row r="51" spans="1:34" x14ac:dyDescent="0.3">
      <c r="A51" t="str">
        <f>calculations!$L$3&amp;calculations!$G$3&amp;" "&amp;calculations!$B$3&amp;calculations!$B51</f>
        <v>AllAll Combined45444</v>
      </c>
      <c r="B51" s="17">
        <f>IFERROR(IF(INDEX(lists!F$5:H$200,MATCH(B50,lists!H$5:H$200,1)+1,3)&gt;VLOOKUP(display!$L$5,lists!G$5:I$200,2,FALSE),"",INDEX(lists!F$5:H$200,MATCH(B50,lists!H$5:H$200,1)+1,3)),"")</f>
        <v>45444</v>
      </c>
      <c r="C51" s="14">
        <f>IF(B51="","",IF(SUMIF(data2!$B$2:$B$40003,calculations!$A51,data2!F$2:F$40003)=0,"",SUMIF(data2!$B$2:$B$40003,calculations!$A51,data2!F$2:F$40003)))</f>
        <v>62.5</v>
      </c>
      <c r="D51" s="14">
        <f>IF(B51="","",IF(SUMIF(data2!$B$2:$B$40003,calculations!$A51,data2!G$2:G$40003)=0,"",SUMIF(data2!$B$2:$B$40003,calculations!$A51,data2!G$2:G$40003)))</f>
        <v>89</v>
      </c>
      <c r="E51" s="8">
        <f t="shared" si="0"/>
        <v>0.702247191011236</v>
      </c>
      <c r="F51" s="14">
        <f>IF($B51="","",IF(SUMIF(data2!$B$2:$B$40003,calculations!$A51,data2!I$2:I$40003)=0,0,SUMIF(data2!$B$2:$B$40003,calculations!$A51,data2!I$2:I$40003)))</f>
        <v>296</v>
      </c>
      <c r="G51" s="14">
        <f>IF($B51="","",IF(SUMIF(data2!$B$2:$B$40003,calculations!$A51,data2!J$2:J$40003)=0,"",SUMIF(data2!$B$2:$B$40003,calculations!$A51,data2!J$2:J$40003)))</f>
        <v>449</v>
      </c>
      <c r="H51" s="8">
        <f t="shared" si="1"/>
        <v>0.65924276169265028</v>
      </c>
      <c r="I51" s="14">
        <f>IF($B51="","",IF(SUMIF(data2!$B$2:$B$40003,calculations!$A51,data2!L$2:L$40003)=0,"",SUMIF(data2!$B$2:$B$40003,calculations!$A51,data2!L$2:L$40003)))</f>
        <v>626</v>
      </c>
      <c r="J51" s="8">
        <f t="shared" si="2"/>
        <v>0.71725239616613423</v>
      </c>
      <c r="K51" s="14">
        <f>IF($B51="","",IF(SUMIF(data2!$B$2:$B$40003,calculations!$A51,data2!P$2:P$40003)=0,IF(L51="","",0),SUMIF(data2!$B$2:$B$40003,calculations!$A51,data2!P$2:P$40003)))</f>
        <v>22</v>
      </c>
      <c r="L51" s="14">
        <f>IF($B51="","",IF(SUMIF(data2!$B$2:$B$40003,calculations!$A51,data2!Q$2:Q$40003)=0,0,SUMIF(data2!$B$2:$B$40003,calculations!$A51,data2!Q$2:Q$40003)))</f>
        <v>33</v>
      </c>
      <c r="M51" s="8">
        <f t="shared" si="3"/>
        <v>0.66666666666666663</v>
      </c>
      <c r="N51" s="14">
        <f>IF(B51="","",SUMIF(data2!$B$2:$B$40003,calculations!$A51,data2!S$2:S$40003))</f>
        <v>29</v>
      </c>
      <c r="O51" s="14">
        <f>IF(B51="","",SUMIF(data2!$B$2:$B$40003,calculations!$A51,data2!N$2:N$40003))</f>
        <v>278</v>
      </c>
      <c r="T51" t="str">
        <f>calculations!$AE$3&amp;calculations!$Z$3&amp;" "&amp;calculations!$U$3&amp;calculations!$U51</f>
        <v>AllAll Combined45078</v>
      </c>
      <c r="U51" s="17">
        <f>IFERROR(IF(INDEX(lists!F$5:H$200,MATCH(U50,lists!H$5:H$200,1)+1,3)&gt;VLOOKUP(display!$AD$5,lists!G$5:I$200,2,FALSE),"",INDEX(lists!F$5:H$200,MATCH(U50,lists!H$5:H$200,1)+1,3)),"")</f>
        <v>45078</v>
      </c>
      <c r="V51" s="14">
        <f>IF(U51="","",IF(SUMIF(data2!$B$2:$B$40003,calculations!$T51,data2!F$2:F$40003)=0,"",SUMIF(data2!$B$2:$B$40003,calculations!$T51,data2!F$2:F$40003)))</f>
        <v>66.5</v>
      </c>
      <c r="W51" s="14">
        <f>IF(U51="","",IF(SUMIF(data2!$B$2:$B$40003,calculations!$T51,data2!G$2:G$40003)=0,"",SUMIF(data2!$B$2:$B$40003,calculations!$T51,data2!G$2:G$40003)))</f>
        <v>77.5</v>
      </c>
      <c r="X51" s="8">
        <f t="shared" si="4"/>
        <v>0.85806451612903223</v>
      </c>
      <c r="Y51" s="14">
        <f>IF($U51="","",IF(SUMIF(data2!$B$2:$B$40003,calculations!$T51,data2!I$2:I$40003)=0,"",SUMIF(data2!$B$2:$B$40003,calculations!$T51,data2!I$2:I$40003)))</f>
        <v>250</v>
      </c>
      <c r="Z51" s="14">
        <f>IF($U51="","",IF(SUMIF(data2!$B$2:$B$40003,calculations!$T51,data2!J$2:J$40003)=0,"",SUMIF(data2!$B$2:$B$40003,calculations!$T51,data2!J$2:J$40003)))</f>
        <v>533</v>
      </c>
      <c r="AA51" s="8">
        <f t="shared" si="5"/>
        <v>0.46904315196998125</v>
      </c>
      <c r="AB51" s="14">
        <f>IF($U51="","",IF(SUMIF(data2!$B$2:$B$40003,calculations!$T51,data2!L$2:L$40003)=0,"",SUMIF(data2!$B$2:$B$40003,calculations!$T51,data2!L$2:L$40003)))</f>
        <v>607</v>
      </c>
      <c r="AC51" s="8">
        <f t="shared" si="6"/>
        <v>0.87808896210873144</v>
      </c>
      <c r="AD51" s="14">
        <f>IF($U51="","",IF(SUMIF(data2!$B$2:$B$40003,calculations!$T51,data2!P$2:P$40003)=0,IF(AE51="","",0),SUMIF(data2!$B$2:$B$40003,calculations!$T51,data2!P$2:P$40003)))</f>
        <v>17</v>
      </c>
      <c r="AE51" s="14">
        <f>IF($U51="","",IF(SUMIF(data2!$B$2:$B$40003,calculations!$T51,data2!Q$2:Q$40003)=0,0,SUMIF(data2!$B$2:$B$40003,calculations!$T51,data2!Q$2:Q$40003)))</f>
        <v>25</v>
      </c>
      <c r="AF51" s="8">
        <f t="shared" si="7"/>
        <v>0.68</v>
      </c>
      <c r="AG51" s="14">
        <f>IF(U51="","",SUMIF(data2!$B$2:$B$40003,calculations!$T51,data2!S$2:S$40003))</f>
        <v>7</v>
      </c>
      <c r="AH51" s="14">
        <f>IF(U51="","",SUMIF(data2!$B$2:$B$40003,calculations!$T51,data2!N$2:N$40003))</f>
        <v>243</v>
      </c>
    </row>
    <row r="52" spans="1:34" x14ac:dyDescent="0.3">
      <c r="A52" t="str">
        <f>calculations!$L$3&amp;calculations!$G$3&amp;" "&amp;calculations!$B$3&amp;calculations!$B52</f>
        <v>AllAll Combined45474</v>
      </c>
      <c r="B52" s="17">
        <f>IFERROR(IF(INDEX(lists!F$5:H$200,MATCH(B51,lists!H$5:H$200,1)+1,3)&gt;VLOOKUP(display!$L$5,lists!G$5:I$200,2,FALSE),"",INDEX(lists!F$5:H$200,MATCH(B51,lists!H$5:H$200,1)+1,3)),"")</f>
        <v>45474</v>
      </c>
      <c r="C52" s="14">
        <f>IF(B52="","",IF(SUMIF(data2!$B$2:$B$40003,calculations!$A52,data2!F$2:F$40003)=0,"",SUMIF(data2!$B$2:$B$40003,calculations!$A52,data2!F$2:F$40003)))</f>
        <v>61.5</v>
      </c>
      <c r="D52" s="14">
        <f>IF(B52="","",IF(SUMIF(data2!$B$2:$B$40003,calculations!$A52,data2!G$2:G$40003)=0,"",SUMIF(data2!$B$2:$B$40003,calculations!$A52,data2!G$2:G$40003)))</f>
        <v>85</v>
      </c>
      <c r="E52" s="8">
        <f t="shared" si="0"/>
        <v>0.72352941176470587</v>
      </c>
      <c r="F52" s="14">
        <f>IF($B52="","",IF(SUMIF(data2!$B$2:$B$40003,calculations!$A52,data2!I$2:I$40003)=0,"",SUMIF(data2!$B$2:$B$40003,calculations!$A52,data2!I$2:I$40003)))</f>
        <v>282</v>
      </c>
      <c r="G52" s="14">
        <f>IF($B52="","",IF(SUMIF(data2!$B$2:$B$40003,calculations!$A52,data2!J$2:J$40003)=0,"",SUMIF(data2!$B$2:$B$40003,calculations!$A52,data2!J$2:J$40003)))</f>
        <v>460</v>
      </c>
      <c r="H52" s="8">
        <f t="shared" si="1"/>
        <v>0.61304347826086958</v>
      </c>
      <c r="I52" s="14">
        <f>IF($B52="","",IF(SUMIF(data2!$B$2:$B$40003,calculations!$A52,data2!L$2:L$40003)=0,"",SUMIF(data2!$B$2:$B$40003,calculations!$A52,data2!L$2:L$40003)))</f>
        <v>610</v>
      </c>
      <c r="J52" s="8">
        <f t="shared" si="2"/>
        <v>0.75409836065573765</v>
      </c>
      <c r="K52" s="14">
        <f>IF($B52="","",IF(SUMIF(data2!$B$2:$B$40003,calculations!$A52,data2!P$2:P$40003)=0,IF(L52="","",0),SUMIF(data2!$B$2:$B$40003,calculations!$A52,data2!P$2:P$40003)))</f>
        <v>27</v>
      </c>
      <c r="L52" s="14">
        <f>IF($B52="","",IF(SUMIF(data2!$B$2:$B$40003,calculations!$A52,data2!Q$2:Q$40003)=0,0,SUMIF(data2!$B$2:$B$40003,calculations!$A52,data2!Q$2:Q$40003)))</f>
        <v>35</v>
      </c>
      <c r="M52" s="8">
        <f t="shared" si="3"/>
        <v>0.77142857142857146</v>
      </c>
      <c r="N52" s="14">
        <f>IF(B52="","",SUMIF(data2!$B$2:$B$40003,calculations!$A52,data2!S$2:S$40003))</f>
        <v>45</v>
      </c>
      <c r="O52" s="14">
        <f>IF(B52="","",SUMIF(data2!$B$2:$B$40003,calculations!$A52,data2!N$2:N$40003))</f>
        <v>241</v>
      </c>
      <c r="T52" t="str">
        <f>calculations!$AE$3&amp;calculations!$Z$3&amp;" "&amp;calculations!$U$3&amp;calculations!$U52</f>
        <v>AllAll Combined45108</v>
      </c>
      <c r="U52" s="17">
        <f>IFERROR(IF(INDEX(lists!F$5:H$200,MATCH(U51,lists!H$5:H$200,1)+1,3)&gt;VLOOKUP(display!$AD$5,lists!G$5:I$200,2,FALSE),"",INDEX(lists!F$5:H$200,MATCH(U51,lists!H$5:H$200,1)+1,3)),"")</f>
        <v>45108</v>
      </c>
      <c r="V52" s="14">
        <f>IF(U52="","",IF(SUMIF(data2!$B$2:$B$40003,calculations!$T52,data2!F$2:F$40003)=0,"",SUMIF(data2!$B$2:$B$40003,calculations!$T52,data2!F$2:F$40003)))</f>
        <v>67.5</v>
      </c>
      <c r="W52" s="14">
        <f>IF(U52="","",IF(SUMIF(data2!$B$2:$B$40003,calculations!$T52,data2!G$2:G$40003)=0,"",SUMIF(data2!$B$2:$B$40003,calculations!$T52,data2!G$2:G$40003)))</f>
        <v>77.5</v>
      </c>
      <c r="X52" s="8">
        <f t="shared" si="4"/>
        <v>0.87096774193548387</v>
      </c>
      <c r="Y52" s="14">
        <f>IF($U52="","",IF(SUMIF(data2!$B$2:$B$40003,calculations!$T52,data2!I$2:I$40003)=0,"",SUMIF(data2!$B$2:$B$40003,calculations!$T52,data2!I$2:I$40003)))</f>
        <v>233</v>
      </c>
      <c r="Z52" s="14">
        <f>IF($U52="","",IF(SUMIF(data2!$B$2:$B$40003,calculations!$T52,data2!J$2:J$40003)=0,"",SUMIF(data2!$B$2:$B$40003,calculations!$T52,data2!J$2:J$40003)))</f>
        <v>538</v>
      </c>
      <c r="AA52" s="8">
        <f t="shared" si="5"/>
        <v>0.43308550185873607</v>
      </c>
      <c r="AB52" s="14">
        <f>IF($U52="","",IF(SUMIF(data2!$B$2:$B$40003,calculations!$T52,data2!L$2:L$40003)=0,"",SUMIF(data2!$B$2:$B$40003,calculations!$T52,data2!L$2:L$40003)))</f>
        <v>607</v>
      </c>
      <c r="AC52" s="8">
        <f t="shared" si="6"/>
        <v>0.88632619439868199</v>
      </c>
      <c r="AD52" s="14">
        <f>IF($U52="","",IF(SUMIF(data2!$B$2:$B$40003,calculations!$T52,data2!P$2:P$40003)=0,IF(AE52="","",0),SUMIF(data2!$B$2:$B$40003,calculations!$T52,data2!P$2:P$40003)))</f>
        <v>15</v>
      </c>
      <c r="AE52" s="14">
        <f>IF($U52="","",IF(SUMIF(data2!$B$2:$B$40003,calculations!$T52,data2!Q$2:Q$40003)=0,0,SUMIF(data2!$B$2:$B$40003,calculations!$T52,data2!Q$2:Q$40003)))</f>
        <v>28</v>
      </c>
      <c r="AF52" s="8">
        <f t="shared" si="7"/>
        <v>0.5357142857142857</v>
      </c>
      <c r="AG52" s="14">
        <f>IF(U52="","",SUMIF(data2!$B$2:$B$40003,calculations!$T52,data2!S$2:S$40003))</f>
        <v>13</v>
      </c>
      <c r="AH52" s="14">
        <f>IF(U52="","",SUMIF(data2!$B$2:$B$40003,calculations!$T52,data2!N$2:N$40003))</f>
        <v>220</v>
      </c>
    </row>
    <row r="53" spans="1:34" x14ac:dyDescent="0.3">
      <c r="A53" t="str">
        <f>calculations!$L$3&amp;calculations!$G$3&amp;" "&amp;calculations!$B$3&amp;calculations!$B53</f>
        <v>AllAll Combined45505</v>
      </c>
      <c r="B53" s="17">
        <f>IFERROR(IF(INDEX(lists!F$5:H$200,MATCH(B52,lists!H$5:H$200,1)+1,3)&gt;VLOOKUP(display!$L$5,lists!G$5:I$200,2,FALSE),"",INDEX(lists!F$5:H$200,MATCH(B52,lists!H$5:H$200,1)+1,3)),"")</f>
        <v>45505</v>
      </c>
      <c r="C53" s="14">
        <f>IF(B53="","",IF(SUMIF(data2!$B$2:$B$40003,calculations!$A53,data2!F$2:F$40003)=0,"",SUMIF(data2!$B$2:$B$40003,calculations!$A53,data2!F$2:F$40003)))</f>
        <v>61</v>
      </c>
      <c r="D53" s="14">
        <f>IF(B53="","",IF(SUMIF(data2!$B$2:$B$40003,calculations!$A53,data2!G$2:G$40003)=0,"",SUMIF(data2!$B$2:$B$40003,calculations!$A53,data2!G$2:G$40003)))</f>
        <v>85</v>
      </c>
      <c r="E53" s="8">
        <f t="shared" si="0"/>
        <v>0.71764705882352942</v>
      </c>
      <c r="F53" s="14">
        <f>IF($B53="","",IF(SUMIF(data2!$B$2:$B$40003,calculations!$A53,data2!I$2:I$40003)=0,"",SUMIF(data2!$B$2:$B$40003,calculations!$A53,data2!I$2:I$40003)))</f>
        <v>289</v>
      </c>
      <c r="G53" s="14">
        <f>IF($B53="","",IF(SUMIF(data2!$B$2:$B$40003,calculations!$A53,data2!J$2:J$40003)=0,"",SUMIF(data2!$B$2:$B$40003,calculations!$A53,data2!J$2:J$40003)))</f>
        <v>472</v>
      </c>
      <c r="H53" s="8">
        <f t="shared" si="1"/>
        <v>0.61228813559322037</v>
      </c>
      <c r="I53" s="14">
        <f>IF($B53="","",IF(SUMIF(data2!$B$2:$B$40003,calculations!$A53,data2!L$2:L$40003)=0,"",SUMIF(data2!$B$2:$B$40003,calculations!$A53,data2!L$2:L$40003)))</f>
        <v>610</v>
      </c>
      <c r="J53" s="8">
        <f t="shared" si="2"/>
        <v>0.77377049180327873</v>
      </c>
      <c r="K53" s="14">
        <f>IF($B53="","",IF(SUMIF(data2!$B$2:$B$40003,calculations!$A53,data2!P$2:P$40003)=0,IF(L53="","",0),SUMIF(data2!$B$2:$B$40003,calculations!$A53,data2!P$2:P$40003)))</f>
        <v>22</v>
      </c>
      <c r="L53" s="14">
        <f>IF($B53="","",IF(SUMIF(data2!$B$2:$B$40003,calculations!$A53,data2!Q$2:Q$40003)=0,0,SUMIF(data2!$B$2:$B$40003,calculations!$A53,data2!Q$2:Q$40003)))</f>
        <v>35</v>
      </c>
      <c r="M53" s="8">
        <f t="shared" si="3"/>
        <v>0.62857142857142856</v>
      </c>
      <c r="N53" s="14">
        <f>IF(B53="","",SUMIF(data2!$B$2:$B$40003,calculations!$A53,data2!S$2:S$40003))</f>
        <v>37</v>
      </c>
      <c r="O53" s="14">
        <f>IF(B53="","",SUMIF(data2!$B$2:$B$40003,calculations!$A53,data2!N$2:N$40003))</f>
        <v>253</v>
      </c>
      <c r="T53" t="str">
        <f>calculations!$AE$3&amp;calculations!$Z$3&amp;" "&amp;calculations!$U$3&amp;calculations!$U53</f>
        <v>AllAll Combined45139</v>
      </c>
      <c r="U53" s="17">
        <f>IFERROR(IF(INDEX(lists!F$5:H$200,MATCH(U52,lists!H$5:H$200,1)+1,3)&gt;VLOOKUP(display!$AD$5,lists!G$5:I$200,2,FALSE),"",INDEX(lists!F$5:H$200,MATCH(U52,lists!H$5:H$200,1)+1,3)),"")</f>
        <v>45139</v>
      </c>
      <c r="V53" s="14">
        <f>IF(U53="","",IF(SUMIF(data2!$B$2:$B$40003,calculations!$T53,data2!F$2:F$40003)=0,"",SUMIF(data2!$B$2:$B$40003,calculations!$T53,data2!F$2:F$40003)))</f>
        <v>66.5</v>
      </c>
      <c r="W53" s="14">
        <f>IF(U53="","",IF(SUMIF(data2!$B$2:$B$40003,calculations!$T53,data2!G$2:G$40003)=0,"",SUMIF(data2!$B$2:$B$40003,calculations!$T53,data2!G$2:G$40003)))</f>
        <v>77.5</v>
      </c>
      <c r="X53" s="8">
        <f t="shared" si="4"/>
        <v>0.85806451612903223</v>
      </c>
      <c r="Y53" s="14">
        <f>IF($U53="","",IF(SUMIF(data2!$B$2:$B$40003,calculations!$T53,data2!I$2:I$40003)=0,"",SUMIF(data2!$B$2:$B$40003,calculations!$T53,data2!I$2:I$40003)))</f>
        <v>205</v>
      </c>
      <c r="Z53" s="14">
        <f>IF($U53="","",IF(SUMIF(data2!$B$2:$B$40003,calculations!$T53,data2!J$2:J$40003)=0,"",SUMIF(data2!$B$2:$B$40003,calculations!$T53,data2!J$2:J$40003)))</f>
        <v>531</v>
      </c>
      <c r="AA53" s="8">
        <f t="shared" si="5"/>
        <v>0.38606403013182672</v>
      </c>
      <c r="AB53" s="14">
        <f>IF($U53="","",IF(SUMIF(data2!$B$2:$B$40003,calculations!$T53,data2!L$2:L$40003)=0,"",SUMIF(data2!$B$2:$B$40003,calculations!$T53,data2!L$2:L$40003)))</f>
        <v>607</v>
      </c>
      <c r="AC53" s="8">
        <f t="shared" si="6"/>
        <v>0.87479406919275127</v>
      </c>
      <c r="AD53" s="14">
        <f>IF($U53="","",IF(SUMIF(data2!$B$2:$B$40003,calculations!$T53,data2!P$2:P$40003)=0,IF(AE53="","",0),SUMIF(data2!$B$2:$B$40003,calculations!$T53,data2!P$2:P$40003)))</f>
        <v>9</v>
      </c>
      <c r="AE53" s="14">
        <f>IF($U53="","",IF(SUMIF(data2!$B$2:$B$40003,calculations!$T53,data2!Q$2:Q$40003)=0,0,SUMIF(data2!$B$2:$B$40003,calculations!$T53,data2!Q$2:Q$40003)))</f>
        <v>13</v>
      </c>
      <c r="AF53" s="8">
        <f t="shared" si="7"/>
        <v>0.69230769230769229</v>
      </c>
      <c r="AG53" s="14">
        <f>IF(U53="","",SUMIF(data2!$B$2:$B$40003,calculations!$T53,data2!S$2:S$40003))</f>
        <v>12</v>
      </c>
      <c r="AH53" s="14">
        <f>IF(U53="","",SUMIF(data2!$B$2:$B$40003,calculations!$T53,data2!N$2:N$40003))</f>
        <v>193</v>
      </c>
    </row>
    <row r="54" spans="1:34" x14ac:dyDescent="0.3">
      <c r="A54" t="str">
        <f>calculations!$L$3&amp;calculations!$G$3&amp;" "&amp;calculations!$B$3&amp;calculations!$B54</f>
        <v>AllAll Combined45536</v>
      </c>
      <c r="B54" s="17">
        <f>IFERROR(IF(INDEX(lists!F$5:H$200,MATCH(B53,lists!H$5:H$200,1)+1,3)&gt;VLOOKUP(display!$L$5,lists!G$5:I$200,2,FALSE),"",INDEX(lists!F$5:H$200,MATCH(B53,lists!H$5:H$200,1)+1,3)),"")</f>
        <v>45536</v>
      </c>
      <c r="C54" s="14">
        <f>IF(B54="","",IF(SUMIF(data2!$B$2:$B$40003,calculations!$A54,data2!F$2:F$40003)=0,"",SUMIF(data2!$B$2:$B$40003,calculations!$A54,data2!F$2:F$40003)))</f>
        <v>60.5</v>
      </c>
      <c r="D54" s="14">
        <f>IF(B54="","",IF(SUMIF(data2!$B$2:$B$40003,calculations!$A54,data2!G$2:G$40003)=0,"",SUMIF(data2!$B$2:$B$40003,calculations!$A54,data2!G$2:G$40003)))</f>
        <v>85</v>
      </c>
      <c r="E54" s="8">
        <f t="shared" si="0"/>
        <v>0.71176470588235297</v>
      </c>
      <c r="F54" s="14">
        <f>IF($B54="","",IF(SUMIF(data2!$B$2:$B$40003,calculations!$A54,data2!I$2:I$40003)=0,"",SUMIF(data2!$B$2:$B$40003,calculations!$A54,data2!I$2:I$40003)))</f>
        <v>268</v>
      </c>
      <c r="G54" s="14">
        <f>IF($B54="","",IF(SUMIF(data2!$B$2:$B$40003,calculations!$A54,data2!J$2:J$40003)=0,"",SUMIF(data2!$B$2:$B$40003,calculations!$A54,data2!J$2:J$40003)))</f>
        <v>469</v>
      </c>
      <c r="H54" s="8">
        <f t="shared" si="1"/>
        <v>0.5714285714285714</v>
      </c>
      <c r="I54" s="14">
        <f>IF($B54="","",IF(SUMIF(data2!$B$2:$B$40003,calculations!$A54,data2!L$2:L$40003)=0,"",SUMIF(data2!$B$2:$B$40003,calculations!$A54,data2!L$2:L$40003)))</f>
        <v>610</v>
      </c>
      <c r="J54" s="8">
        <f t="shared" si="2"/>
        <v>0.76885245901639343</v>
      </c>
      <c r="K54" s="14">
        <f>IF($B54="","",IF(SUMIF(data2!$B$2:$B$40003,calculations!$A54,data2!P$2:P$40003)=0,IF(L54="","",0),SUMIF(data2!$B$2:$B$40003,calculations!$A54,data2!P$2:P$40003)))</f>
        <v>24</v>
      </c>
      <c r="L54" s="14">
        <f>IF($B54="","",IF(SUMIF(data2!$B$2:$B$40003,calculations!$A54,data2!Q$2:Q$40003)=0,0,SUMIF(data2!$B$2:$B$40003,calculations!$A54,data2!Q$2:Q$40003)))</f>
        <v>36</v>
      </c>
      <c r="M54" s="8">
        <f t="shared" si="3"/>
        <v>0.66666666666666663</v>
      </c>
      <c r="N54" s="14">
        <f>IF(B54="","",SUMIF(data2!$B$2:$B$40003,calculations!$A54,data2!S$2:S$40003))</f>
        <v>19</v>
      </c>
      <c r="O54" s="14">
        <f>IF(B54="","",SUMIF(data2!$B$2:$B$40003,calculations!$A54,data2!N$2:N$40003))</f>
        <v>249</v>
      </c>
      <c r="T54" t="str">
        <f>calculations!$AE$3&amp;calculations!$Z$3&amp;" "&amp;calculations!$U$3&amp;calculations!$U54</f>
        <v>AllAll Combined45170</v>
      </c>
      <c r="U54" s="17">
        <f>IFERROR(IF(INDEX(lists!F$5:H$200,MATCH(U53,lists!H$5:H$200,1)+1,3)&gt;VLOOKUP(display!$AD$5,lists!G$5:I$200,2,FALSE),"",INDEX(lists!F$5:H$200,MATCH(U53,lists!H$5:H$200,1)+1,3)),"")</f>
        <v>45170</v>
      </c>
      <c r="V54" s="14">
        <f>IF(U54="","",IF(SUMIF(data2!$B$2:$B$40003,calculations!$T54,data2!F$2:F$40003)=0,"",SUMIF(data2!$B$2:$B$40003,calculations!$T54,data2!F$2:F$40003)))</f>
        <v>61</v>
      </c>
      <c r="W54" s="14">
        <f>IF(U54="","",IF(SUMIF(data2!$B$2:$B$40003,calculations!$T54,data2!G$2:G$40003)=0,"",SUMIF(data2!$B$2:$B$40003,calculations!$T54,data2!G$2:G$40003)))</f>
        <v>69.5</v>
      </c>
      <c r="X54" s="8">
        <f t="shared" si="4"/>
        <v>0.87769784172661869</v>
      </c>
      <c r="Y54" s="14">
        <f>IF($U54="","",IF(SUMIF(data2!$B$2:$B$40003,calculations!$T54,data2!I$2:I$40003)=0,"",SUMIF(data2!$B$2:$B$40003,calculations!$T54,data2!I$2:I$40003)))</f>
        <v>220</v>
      </c>
      <c r="Z54" s="14">
        <f>IF($U54="","",IF(SUMIF(data2!$B$2:$B$40003,calculations!$T54,data2!J$2:J$40003)=0,"",SUMIF(data2!$B$2:$B$40003,calculations!$T54,data2!J$2:J$40003)))</f>
        <v>472</v>
      </c>
      <c r="AA54" s="8">
        <f t="shared" si="5"/>
        <v>0.46610169491525422</v>
      </c>
      <c r="AB54" s="14">
        <f>IF($U54="","",IF(SUMIF(data2!$B$2:$B$40003,calculations!$T54,data2!L$2:L$40003)=0,"",SUMIF(data2!$B$2:$B$40003,calculations!$T54,data2!L$2:L$40003)))</f>
        <v>523</v>
      </c>
      <c r="AC54" s="8">
        <f t="shared" si="6"/>
        <v>0.90248565965583172</v>
      </c>
      <c r="AD54" s="14">
        <f>IF($U54="","",IF(SUMIF(data2!$B$2:$B$40003,calculations!$T54,data2!P$2:P$40003)=0,IF(AE54="","",0),SUMIF(data2!$B$2:$B$40003,calculations!$T54,data2!P$2:P$40003)))</f>
        <v>33</v>
      </c>
      <c r="AE54" s="14">
        <f>IF($U54="","",IF(SUMIF(data2!$B$2:$B$40003,calculations!$T54,data2!Q$2:Q$40003)=0,0,SUMIF(data2!$B$2:$B$40003,calculations!$T54,data2!Q$2:Q$40003)))</f>
        <v>39</v>
      </c>
      <c r="AF54" s="8">
        <f t="shared" si="7"/>
        <v>0.84615384615384615</v>
      </c>
      <c r="AG54" s="14">
        <f>IF(U54="","",SUMIF(data2!$B$2:$B$40003,calculations!$T54,data2!S$2:S$40003))</f>
        <v>23</v>
      </c>
      <c r="AH54" s="14">
        <f>IF(U54="","",SUMIF(data2!$B$2:$B$40003,calculations!$T54,data2!N$2:N$40003))</f>
        <v>198</v>
      </c>
    </row>
    <row r="55" spans="1:34" x14ac:dyDescent="0.3">
      <c r="A55" t="str">
        <f>calculations!$L$3&amp;calculations!$G$3&amp;" "&amp;calculations!$B$3&amp;calculations!$B55</f>
        <v>AllAll Combined45566</v>
      </c>
      <c r="B55" s="17">
        <f>IFERROR(IF(INDEX(lists!F$5:H$200,MATCH(B54,lists!H$5:H$200,1)+1,3)&gt;VLOOKUP(display!$L$5,lists!G$5:I$200,2,FALSE),"",INDEX(lists!F$5:H$200,MATCH(B54,lists!H$5:H$200,1)+1,3)),"")</f>
        <v>45566</v>
      </c>
      <c r="C55" s="14">
        <f>IF(B55="","",IF(SUMIF(data2!$B$2:$B$40003,calculations!$A55,data2!F$2:F$40003)=0,"",SUMIF(data2!$B$2:$B$40003,calculations!$A55,data2!F$2:F$40003)))</f>
        <v>60.5</v>
      </c>
      <c r="D55" s="14">
        <f>IF(B55="","",IF(SUMIF(data2!$B$2:$B$40003,calculations!$A55,data2!G$2:G$40003)=0,"",SUMIF(data2!$B$2:$B$40003,calculations!$A55,data2!G$2:G$40003)))</f>
        <v>82</v>
      </c>
      <c r="E55" s="8">
        <f t="shared" si="0"/>
        <v>0.73780487804878048</v>
      </c>
      <c r="F55" s="14">
        <f>IF($B55="","",IF(SUMIF(data2!$B$2:$B$40003,calculations!$A55,data2!I$2:I$40003)=0,"",SUMIF(data2!$B$2:$B$40003,calculations!$A55,data2!I$2:I$40003)))</f>
        <v>262</v>
      </c>
      <c r="G55" s="14">
        <f>IF($B55="","",IF(SUMIF(data2!$B$2:$B$40003,calculations!$A55,data2!J$2:J$40003)=0,"",SUMIF(data2!$B$2:$B$40003,calculations!$A55,data2!J$2:J$40003)))</f>
        <v>461</v>
      </c>
      <c r="H55" s="8">
        <f t="shared" si="1"/>
        <v>0.5683297180043384</v>
      </c>
      <c r="I55" s="14">
        <f>IF($B55="","",IF(SUMIF(data2!$B$2:$B$40003,calculations!$A55,data2!L$2:L$40003)=0,"",SUMIF(data2!$B$2:$B$40003,calculations!$A55,data2!L$2:L$40003)))</f>
        <v>586</v>
      </c>
      <c r="J55" s="8">
        <f t="shared" si="2"/>
        <v>0.78668941979522189</v>
      </c>
      <c r="K55" s="14">
        <f>IF($B55="","",IF(SUMIF(data2!$B$2:$B$40003,calculations!$A55,data2!P$2:P$40003)=0,IF(L55="","",0),SUMIF(data2!$B$2:$B$40003,calculations!$A55,data2!P$2:P$40003)))</f>
        <v>26</v>
      </c>
      <c r="L55" s="14">
        <f>IF($B55="","",IF(SUMIF(data2!$B$2:$B$40003,calculations!$A55,data2!Q$2:Q$40003)=0,0,SUMIF(data2!$B$2:$B$40003,calculations!$A55,data2!Q$2:Q$40003)))</f>
        <v>33</v>
      </c>
      <c r="M55" s="8">
        <f t="shared" si="3"/>
        <v>0.78787878787878785</v>
      </c>
      <c r="N55" s="14">
        <f>IF(B55="","",SUMIF(data2!$B$2:$B$40003,calculations!$A55,data2!S$2:S$40003))</f>
        <v>37</v>
      </c>
      <c r="O55" s="14">
        <f>IF(B55="","",SUMIF(data2!$B$2:$B$40003,calculations!$A55,data2!N$2:N$40003))</f>
        <v>225</v>
      </c>
      <c r="T55" t="str">
        <f>calculations!$AE$3&amp;calculations!$Z$3&amp;" "&amp;calculations!$U$3&amp;calculations!$U55</f>
        <v>AllAll Combined45200</v>
      </c>
      <c r="U55" s="17">
        <f>IFERROR(IF(INDEX(lists!F$5:H$200,MATCH(U54,lists!H$5:H$200,1)+1,3)&gt;VLOOKUP(display!$AD$5,lists!G$5:I$200,2,FALSE),"",INDEX(lists!F$5:H$200,MATCH(U54,lists!H$5:H$200,1)+1,3)),"")</f>
        <v>45200</v>
      </c>
      <c r="V55" s="14">
        <f>IF(U55="","",IF(SUMIF(data2!$B$2:$B$40003,calculations!$T55,data2!F$2:F$40003)=0,"",SUMIF(data2!$B$2:$B$40003,calculations!$T55,data2!F$2:F$40003)))</f>
        <v>74</v>
      </c>
      <c r="W55" s="14">
        <f>IF(U55="","",IF(SUMIF(data2!$B$2:$B$40003,calculations!$T55,data2!G$2:G$40003)=0,"",SUMIF(data2!$B$2:$B$40003,calculations!$T55,data2!G$2:G$40003)))</f>
        <v>86.5</v>
      </c>
      <c r="X55" s="8">
        <f t="shared" si="4"/>
        <v>0.8554913294797688</v>
      </c>
      <c r="Y55" s="14">
        <f>IF($U55="","",IF(SUMIF(data2!$B$2:$B$40003,calculations!$T55,data2!I$2:I$40003)=0,"",SUMIF(data2!$B$2:$B$40003,calculations!$T55,data2!I$2:I$40003)))</f>
        <v>226</v>
      </c>
      <c r="Z55" s="14">
        <f>IF($U55="","",IF(SUMIF(data2!$B$2:$B$40003,calculations!$T55,data2!J$2:J$40003)=0,"",SUMIF(data2!$B$2:$B$40003,calculations!$T55,data2!J$2:J$40003)))</f>
        <v>532</v>
      </c>
      <c r="AA55" s="8">
        <f t="shared" si="5"/>
        <v>0.42481203007518797</v>
      </c>
      <c r="AB55" s="14">
        <f>IF($U55="","",IF(SUMIF(data2!$B$2:$B$40003,calculations!$T55,data2!L$2:L$40003)=0,"",SUMIF(data2!$B$2:$B$40003,calculations!$T55,data2!L$2:L$40003)))</f>
        <v>612</v>
      </c>
      <c r="AC55" s="8">
        <f t="shared" si="6"/>
        <v>0.86928104575163401</v>
      </c>
      <c r="AD55" s="14">
        <f>IF($U55="","",IF(SUMIF(data2!$B$2:$B$40003,calculations!$T55,data2!P$2:P$40003)=0,IF(AE55="","",0),SUMIF(data2!$B$2:$B$40003,calculations!$T55,data2!P$2:P$40003)))</f>
        <v>22</v>
      </c>
      <c r="AE55" s="14">
        <f>IF($U55="","",IF(SUMIF(data2!$B$2:$B$40003,calculations!$T55,data2!Q$2:Q$40003)=0,0,SUMIF(data2!$B$2:$B$40003,calculations!$T55,data2!Q$2:Q$40003)))</f>
        <v>28</v>
      </c>
      <c r="AF55" s="8">
        <f t="shared" si="7"/>
        <v>0.7857142857142857</v>
      </c>
      <c r="AG55" s="14">
        <f>IF(U55="","",SUMIF(data2!$B$2:$B$40003,calculations!$T55,data2!S$2:S$40003))</f>
        <v>69</v>
      </c>
      <c r="AH55" s="14">
        <f>IF(U55="","",SUMIF(data2!$B$2:$B$40003,calculations!$T55,data2!N$2:N$40003))</f>
        <v>247</v>
      </c>
    </row>
    <row r="56" spans="1:34" x14ac:dyDescent="0.3">
      <c r="A56" t="str">
        <f>calculations!$L$3&amp;calculations!$G$3&amp;" "&amp;calculations!$B$3&amp;calculations!$B56</f>
        <v>AllAll Combined45597</v>
      </c>
      <c r="B56" s="17">
        <f>IFERROR(IF(INDEX(lists!F$5:H$200,MATCH(B55,lists!H$5:H$200,1)+1,3)&gt;VLOOKUP(display!$L$5,lists!G$5:I$200,2,FALSE),"",INDEX(lists!F$5:H$200,MATCH(B55,lists!H$5:H$200,1)+1,3)),"")</f>
        <v>45597</v>
      </c>
      <c r="C56" s="14">
        <f>IF(B56="","",IF(SUMIF(data2!$B$2:$B$40003,calculations!$A56,data2!F$2:F$40003)=0,"",SUMIF(data2!$B$2:$B$40003,calculations!$A56,data2!F$2:F$40003)))</f>
        <v>63</v>
      </c>
      <c r="D56" s="14">
        <f>IF(B56="","",IF(SUMIF(data2!$B$2:$B$40003,calculations!$A56,data2!G$2:G$40003)=0,"",SUMIF(data2!$B$2:$B$40003,calculations!$A56,data2!G$2:G$40003)))</f>
        <v>84</v>
      </c>
      <c r="E56" s="8">
        <f t="shared" si="0"/>
        <v>0.75</v>
      </c>
      <c r="F56" s="14">
        <f>IF($B56="","",IF(SUMIF(data2!$B$2:$B$40003,calculations!$A56,data2!I$2:I$40003)=0,"",SUMIF(data2!$B$2:$B$40003,calculations!$A56,data2!I$2:I$40003)))</f>
        <v>258</v>
      </c>
      <c r="G56" s="14">
        <f>IF($B56="","",IF(SUMIF(data2!$B$2:$B$40003,calculations!$A56,data2!J$2:J$40003)=0,"",SUMIF(data2!$B$2:$B$40003,calculations!$A56,data2!J$2:J$40003)))</f>
        <v>472</v>
      </c>
      <c r="H56" s="8">
        <f t="shared" si="1"/>
        <v>0.54661016949152541</v>
      </c>
      <c r="I56" s="14">
        <f>IF($B56="","",IF(SUMIF(data2!$B$2:$B$40003,calculations!$A56,data2!L$2:L$40003)=0,"",SUMIF(data2!$B$2:$B$40003,calculations!$A56,data2!L$2:L$40003)))</f>
        <v>594</v>
      </c>
      <c r="J56" s="8">
        <f t="shared" si="2"/>
        <v>0.79461279461279466</v>
      </c>
      <c r="K56" s="14">
        <f>IF($B56="","",IF(SUMIF(data2!$B$2:$B$40003,calculations!$A56,data2!P$2:P$40003)=0,IF(L56="","",0),SUMIF(data2!$B$2:$B$40003,calculations!$A56,data2!P$2:P$40003)))</f>
        <v>24</v>
      </c>
      <c r="L56" s="14">
        <f>IF($B56="","",IF(SUMIF(data2!$B$2:$B$40003,calculations!$A56,data2!Q$2:Q$40003)=0,0,SUMIF(data2!$B$2:$B$40003,calculations!$A56,data2!Q$2:Q$40003)))</f>
        <v>32</v>
      </c>
      <c r="M56" s="8">
        <f t="shared" si="3"/>
        <v>0.75</v>
      </c>
      <c r="N56" s="14">
        <f>IF(B56="","",SUMIF(data2!$B$2:$B$40003,calculations!$A56,data2!S$2:S$40003))</f>
        <v>28</v>
      </c>
      <c r="O56" s="14">
        <f>IF(B56="","",SUMIF(data2!$B$2:$B$40003,calculations!$A56,data2!N$2:N$40003))</f>
        <v>230</v>
      </c>
      <c r="T56" t="str">
        <f>calculations!$AE$3&amp;calculations!$Z$3&amp;" "&amp;calculations!$U$3&amp;calculations!$U56</f>
        <v>AllAll Combined45231</v>
      </c>
      <c r="U56" s="17">
        <f>IFERROR(IF(INDEX(lists!F$5:H$200,MATCH(U55,lists!H$5:H$200,1)+1,3)&gt;VLOOKUP(display!$AD$5,lists!G$5:I$200,2,FALSE),"",INDEX(lists!F$5:H$200,MATCH(U55,lists!H$5:H$200,1)+1,3)),"")</f>
        <v>45231</v>
      </c>
      <c r="V56" s="14">
        <f>IF(U56="","",IF(SUMIF(data2!$B$2:$B$40003,calculations!$T56,data2!F$2:F$40003)=0,"",SUMIF(data2!$B$2:$B$40003,calculations!$T56,data2!F$2:F$40003)))</f>
        <v>72</v>
      </c>
      <c r="W56" s="14">
        <f>IF(U56="","",IF(SUMIF(data2!$B$2:$B$40003,calculations!$T56,data2!G$2:G$40003)=0,"",SUMIF(data2!$B$2:$B$40003,calculations!$T56,data2!G$2:G$40003)))</f>
        <v>86.5</v>
      </c>
      <c r="X56" s="8">
        <f t="shared" si="4"/>
        <v>0.83236994219653182</v>
      </c>
      <c r="Y56" s="14">
        <f>IF($U56="","",IF(SUMIF(data2!$B$2:$B$40003,calculations!$T56,data2!I$2:I$40003)=0,"",SUMIF(data2!$B$2:$B$40003,calculations!$T56,data2!I$2:I$40003)))</f>
        <v>256</v>
      </c>
      <c r="Z56" s="14">
        <f>IF($U56="","",IF(SUMIF(data2!$B$2:$B$40003,calculations!$T56,data2!J$2:J$40003)=0,"",SUMIF(data2!$B$2:$B$40003,calculations!$T56,data2!J$2:J$40003)))</f>
        <v>512</v>
      </c>
      <c r="AA56" s="8">
        <f t="shared" si="5"/>
        <v>0.5</v>
      </c>
      <c r="AB56" s="14">
        <f>IF($U56="","",IF(SUMIF(data2!$B$2:$B$40003,calculations!$T56,data2!L$2:L$40003)=0,"",SUMIF(data2!$B$2:$B$40003,calculations!$T56,data2!L$2:L$40003)))</f>
        <v>612</v>
      </c>
      <c r="AC56" s="8">
        <f t="shared" si="6"/>
        <v>0.83660130718954251</v>
      </c>
      <c r="AD56" s="14">
        <f>IF($U56="","",IF(SUMIF(data2!$B$2:$B$40003,calculations!$T56,data2!P$2:P$40003)=0,IF(AE56="","",0),SUMIF(data2!$B$2:$B$40003,calculations!$T56,data2!P$2:P$40003)))</f>
        <v>25</v>
      </c>
      <c r="AE56" s="14">
        <f>IF($U56="","",IF(SUMIF(data2!$B$2:$B$40003,calculations!$T56,data2!Q$2:Q$40003)=0,0,SUMIF(data2!$B$2:$B$40003,calculations!$T56,data2!Q$2:Q$40003)))</f>
        <v>37</v>
      </c>
      <c r="AF56" s="8">
        <f t="shared" si="7"/>
        <v>0.67567567567567566</v>
      </c>
      <c r="AG56" s="14">
        <f>IF(U56="","",SUMIF(data2!$B$2:$B$40003,calculations!$T56,data2!S$2:S$40003))</f>
        <v>31</v>
      </c>
      <c r="AH56" s="14">
        <f>IF(U56="","",SUMIF(data2!$B$2:$B$40003,calculations!$T56,data2!N$2:N$40003))</f>
        <v>225</v>
      </c>
    </row>
    <row r="57" spans="1:34" x14ac:dyDescent="0.3">
      <c r="A57" t="str">
        <f>calculations!$L$3&amp;calculations!$G$3&amp;" "&amp;calculations!$B$3&amp;calculations!$B57</f>
        <v>AllAll Combined45627</v>
      </c>
      <c r="B57" s="17">
        <f>IFERROR(IF(INDEX(lists!F$5:H$200,MATCH(B56,lists!H$5:H$200,1)+1,3)&gt;VLOOKUP(display!$L$5,lists!G$5:I$200,2,FALSE),"",INDEX(lists!F$5:H$200,MATCH(B56,lists!H$5:H$200,1)+1,3)),"")</f>
        <v>45627</v>
      </c>
      <c r="C57" s="14">
        <f>IF(B57="","",IF(SUMIF(data2!$B$2:$B$40003,calculations!$A57,data2!F$2:F$40003)=0,"",SUMIF(data2!$B$2:$B$40003,calculations!$A57,data2!F$2:F$40003)))</f>
        <v>61.5</v>
      </c>
      <c r="D57" s="14">
        <f>IF(B57="","",IF(SUMIF(data2!$B$2:$B$40003,calculations!$A57,data2!G$2:G$40003)=0,"",SUMIF(data2!$B$2:$B$40003,calculations!$A57,data2!G$2:G$40003)))</f>
        <v>84</v>
      </c>
      <c r="E57" s="8">
        <f t="shared" si="0"/>
        <v>0.7321428571428571</v>
      </c>
      <c r="F57" s="14">
        <f>IF($B57="","",IF(SUMIF(data2!$B$2:$B$40003,calculations!$A57,data2!I$2:I$40003)=0,"",SUMIF(data2!$B$2:$B$40003,calculations!$A57,data2!I$2:I$40003)))</f>
        <v>278</v>
      </c>
      <c r="G57" s="14">
        <f>IF($B57="","",IF(SUMIF(data2!$B$2:$B$40003,calculations!$A57,data2!J$2:J$40003)=0,"",SUMIF(data2!$B$2:$B$40003,calculations!$A57,data2!J$2:J$40003)))</f>
        <v>462</v>
      </c>
      <c r="H57" s="8">
        <f t="shared" si="1"/>
        <v>0.60173160173160178</v>
      </c>
      <c r="I57" s="14">
        <f>IF($B57="","",IF(SUMIF(data2!$B$2:$B$40003,calculations!$A57,data2!L$2:L$40003)=0,"",SUMIF(data2!$B$2:$B$40003,calculations!$A57,data2!L$2:L$40003)))</f>
        <v>594</v>
      </c>
      <c r="J57" s="8">
        <f t="shared" si="2"/>
        <v>0.77777777777777779</v>
      </c>
      <c r="K57" s="14">
        <f>IF($B57="","",IF(SUMIF(data2!$B$2:$B$40003,calculations!$A57,data2!P$2:P$40003)=0,IF(L57="","",0),SUMIF(data2!$B$2:$B$40003,calculations!$A57,data2!P$2:P$40003)))</f>
        <v>23</v>
      </c>
      <c r="L57" s="14">
        <f>IF($B57="","",IF(SUMIF(data2!$B$2:$B$40003,calculations!$A57,data2!Q$2:Q$40003)=0,0,SUMIF(data2!$B$2:$B$40003,calculations!$A57,data2!Q$2:Q$40003)))</f>
        <v>29</v>
      </c>
      <c r="M57" s="8">
        <f t="shared" si="3"/>
        <v>0.7931034482758621</v>
      </c>
      <c r="N57" s="14">
        <f>IF(B57="","",SUMIF(data2!$B$2:$B$40003,calculations!$A57,data2!S$2:S$40003))</f>
        <v>48</v>
      </c>
      <c r="O57" s="14">
        <f>IF(B57="","",SUMIF(data2!$B$2:$B$40003,calculations!$A57,data2!N$2:N$40003))</f>
        <v>230</v>
      </c>
      <c r="T57" t="str">
        <f>calculations!$AE$3&amp;calculations!$Z$3&amp;" "&amp;calculations!$U$3&amp;calculations!$U57</f>
        <v>AllAll Combined45261</v>
      </c>
      <c r="U57" s="17">
        <f>IFERROR(IF(INDEX(lists!F$5:H$200,MATCH(U56,lists!H$5:H$200,1)+1,3)&gt;VLOOKUP(display!$AD$5,lists!G$5:I$200,2,FALSE),"",INDEX(lists!F$5:H$200,MATCH(U56,lists!H$5:H$200,1)+1,3)),"")</f>
        <v>45261</v>
      </c>
      <c r="V57" s="14">
        <f>IF(U57="","",IF(SUMIF(data2!$B$2:$B$40003,calculations!$T57,data2!F$2:F$40003)=0,"",SUMIF(data2!$B$2:$B$40003,calculations!$T57,data2!F$2:F$40003)))</f>
        <v>68.5</v>
      </c>
      <c r="W57" s="14">
        <f>IF(U57="","",IF(SUMIF(data2!$B$2:$B$40003,calculations!$T57,data2!G$2:G$40003)=0,"",SUMIF(data2!$B$2:$B$40003,calculations!$T57,data2!G$2:G$40003)))</f>
        <v>86.5</v>
      </c>
      <c r="X57" s="8">
        <f t="shared" si="4"/>
        <v>0.79190751445086704</v>
      </c>
      <c r="Y57" s="14">
        <f>IF($U57="","",IF(SUMIF(data2!$B$2:$B$40003,calculations!$T57,data2!I$2:I$40003)=0,"",SUMIF(data2!$B$2:$B$40003,calculations!$T57,data2!I$2:I$40003)))</f>
        <v>249</v>
      </c>
      <c r="Z57" s="14">
        <f>IF($U57="","",IF(SUMIF(data2!$B$2:$B$40003,calculations!$T57,data2!J$2:J$40003)=0,"",SUMIF(data2!$B$2:$B$40003,calculations!$T57,data2!J$2:J$40003)))</f>
        <v>484</v>
      </c>
      <c r="AA57" s="8">
        <f t="shared" si="5"/>
        <v>0.51446280991735538</v>
      </c>
      <c r="AB57" s="14">
        <f>IF($U57="","",IF(SUMIF(data2!$B$2:$B$40003,calculations!$T57,data2!L$2:L$40003)=0,"",SUMIF(data2!$B$2:$B$40003,calculations!$T57,data2!L$2:L$40003)))</f>
        <v>612</v>
      </c>
      <c r="AC57" s="8">
        <f t="shared" si="6"/>
        <v>0.79084967320261434</v>
      </c>
      <c r="AD57" s="14">
        <f>IF($U57="","",IF(SUMIF(data2!$B$2:$B$40003,calculations!$T57,data2!P$2:P$40003)=0,IF(AE57="","",0),SUMIF(data2!$B$2:$B$40003,calculations!$T57,data2!P$2:P$40003)))</f>
        <v>23</v>
      </c>
      <c r="AE57" s="14">
        <f>IF($U57="","",IF(SUMIF(data2!$B$2:$B$40003,calculations!$T57,data2!Q$2:Q$40003)=0,0,SUMIF(data2!$B$2:$B$40003,calculations!$T57,data2!Q$2:Q$40003)))</f>
        <v>36</v>
      </c>
      <c r="AF57" s="8">
        <f t="shared" si="7"/>
        <v>0.63888888888888884</v>
      </c>
      <c r="AG57" s="14">
        <f>IF(U57="","",SUMIF(data2!$B$2:$B$40003,calculations!$T57,data2!S$2:S$40003))</f>
        <v>24</v>
      </c>
      <c r="AH57" s="14">
        <f>IF(U57="","",SUMIF(data2!$B$2:$B$40003,calculations!$T57,data2!N$2:N$40003))</f>
        <v>225</v>
      </c>
    </row>
    <row r="58" spans="1:34" x14ac:dyDescent="0.3">
      <c r="A58" t="str">
        <f>calculations!$L$3&amp;calculations!$G$3&amp;" "&amp;calculations!$B$3&amp;calculations!$B58</f>
        <v>AllAll Combined45658</v>
      </c>
      <c r="B58" s="17">
        <f>IFERROR(IF(INDEX(lists!F$5:H$200,MATCH(B57,lists!H$5:H$200,1)+1,3)&gt;VLOOKUP(display!$L$5,lists!G$5:I$200,2,FALSE),"",INDEX(lists!F$5:H$200,MATCH(B57,lists!H$5:H$200,1)+1,3)),"")</f>
        <v>45658</v>
      </c>
      <c r="C58" s="14">
        <f>IF(B58="","",IF(SUMIF(data2!$B$2:$B$40003,calculations!$A58,data2!F$2:F$40003)=0,"",SUMIF(data2!$B$2:$B$40003,calculations!$A58,data2!F$2:F$40003)))</f>
        <v>61.5</v>
      </c>
      <c r="D58" s="14">
        <f>IF(B58="","",IF(SUMIF(data2!$B$2:$B$40003,calculations!$A58,data2!G$2:G$40003)=0,"",SUMIF(data2!$B$2:$B$40003,calculations!$A58,data2!G$2:G$40003)))</f>
        <v>84</v>
      </c>
      <c r="E58" s="8">
        <f t="shared" si="0"/>
        <v>0.7321428571428571</v>
      </c>
      <c r="F58" s="14">
        <f>IF($B58="","",IF(SUMIF(data2!$B$2:$B$40003,calculations!$A58,data2!I$2:I$40003)=0,"",SUMIF(data2!$B$2:$B$40003,calculations!$A58,data2!I$2:I$40003)))</f>
        <v>291</v>
      </c>
      <c r="G58" s="14">
        <f>IF($B58="","",IF(SUMIF(data2!$B$2:$B$40003,calculations!$A58,data2!J$2:J$40003)=0,"",SUMIF(data2!$B$2:$B$40003,calculations!$A58,data2!J$2:J$40003)))</f>
        <v>462</v>
      </c>
      <c r="H58" s="8">
        <f t="shared" si="1"/>
        <v>0.62987012987012991</v>
      </c>
      <c r="I58" s="14">
        <f>IF($B58="","",IF(SUMIF(data2!$B$2:$B$40003,calculations!$A58,data2!L$2:L$40003)=0,"",SUMIF(data2!$B$2:$B$40003,calculations!$A58,data2!L$2:L$40003)))</f>
        <v>594</v>
      </c>
      <c r="J58" s="8">
        <f t="shared" si="2"/>
        <v>0.77777777777777779</v>
      </c>
      <c r="K58" s="14">
        <f>IF($B58="","",IF(SUMIF(data2!$B$2:$B$40003,calculations!$A58,data2!P$2:P$40003)=0,IF(L58="","",0),SUMIF(data2!$B$2:$B$40003,calculations!$A58,data2!P$2:P$40003)))</f>
        <v>15</v>
      </c>
      <c r="L58" s="14">
        <f>IF($B58="","",IF(SUMIF(data2!$B$2:$B$40003,calculations!$A58,data2!Q$2:Q$40003)=0,0,SUMIF(data2!$B$2:$B$40003,calculations!$A58,data2!Q$2:Q$40003)))</f>
        <v>23</v>
      </c>
      <c r="M58" s="8">
        <f t="shared" si="3"/>
        <v>0.65217391304347827</v>
      </c>
      <c r="N58" s="14">
        <f>IF(B58="","",SUMIF(data2!$B$2:$B$40003,calculations!$A58,data2!S$2:S$40003))</f>
        <v>34</v>
      </c>
      <c r="O58" s="14">
        <f>IF(B58="","",SUMIF(data2!$B$2:$B$40003,calculations!$A58,data2!N$2:N$40003))</f>
        <v>258</v>
      </c>
      <c r="T58" t="str">
        <f>calculations!$AE$3&amp;calculations!$Z$3&amp;" "&amp;calculations!$U$3&amp;calculations!$U58</f>
        <v>AllAll Combined45292</v>
      </c>
      <c r="U58" s="17">
        <f>IFERROR(IF(INDEX(lists!F$5:H$200,MATCH(U57,lists!H$5:H$200,1)+1,3)&gt;VLOOKUP(display!$AD$5,lists!G$5:I$200,2,FALSE),"",INDEX(lists!F$5:H$200,MATCH(U57,lists!H$5:H$200,1)+1,3)),"")</f>
        <v>45292</v>
      </c>
      <c r="V58" s="14">
        <f>IF(U58="","",IF(SUMIF(data2!$B$2:$B$40003,calculations!$T58,data2!F$2:F$40003)=0,"",SUMIF(data2!$B$2:$B$40003,calculations!$T58,data2!F$2:F$40003)))</f>
        <v>69.5</v>
      </c>
      <c r="W58" s="14">
        <f>IF(U58="","",IF(SUMIF(data2!$B$2:$B$40003,calculations!$T58,data2!G$2:G$40003)=0,"",SUMIF(data2!$B$2:$B$40003,calculations!$T58,data2!G$2:G$40003)))</f>
        <v>87.5</v>
      </c>
      <c r="X58" s="8">
        <f t="shared" si="4"/>
        <v>0.79428571428571426</v>
      </c>
      <c r="Y58" s="14">
        <f>IF($U58="","",IF(SUMIF(data2!$B$2:$B$40003,calculations!$T58,data2!I$2:I$40003)=0,"",SUMIF(data2!$B$2:$B$40003,calculations!$T58,data2!I$2:I$40003)))</f>
        <v>255</v>
      </c>
      <c r="Z58" s="14">
        <f>IF($U58="","",IF(SUMIF(data2!$B$2:$B$40003,calculations!$T58,data2!J$2:J$40003)=0,"",SUMIF(data2!$B$2:$B$40003,calculations!$T58,data2!J$2:J$40003)))</f>
        <v>488</v>
      </c>
      <c r="AA58" s="8">
        <f t="shared" si="5"/>
        <v>0.52254098360655743</v>
      </c>
      <c r="AB58" s="14">
        <f>IF($U58="","",IF(SUMIF(data2!$B$2:$B$40003,calculations!$T58,data2!L$2:L$40003)=0,"",SUMIF(data2!$B$2:$B$40003,calculations!$T58,data2!L$2:L$40003)))</f>
        <v>618</v>
      </c>
      <c r="AC58" s="8">
        <f t="shared" si="6"/>
        <v>0.78964401294498376</v>
      </c>
      <c r="AD58" s="14">
        <f>IF($U58="","",IF(SUMIF(data2!$B$2:$B$40003,calculations!$T58,data2!P$2:P$40003)=0,IF(AE58="","",0),SUMIF(data2!$B$2:$B$40003,calculations!$T58,data2!P$2:P$40003)))</f>
        <v>22</v>
      </c>
      <c r="AE58" s="14">
        <f>IF($U58="","",IF(SUMIF(data2!$B$2:$B$40003,calculations!$T58,data2!Q$2:Q$40003)=0,0,SUMIF(data2!$B$2:$B$40003,calculations!$T58,data2!Q$2:Q$40003)))</f>
        <v>28</v>
      </c>
      <c r="AF58" s="8">
        <f t="shared" si="7"/>
        <v>0.7857142857142857</v>
      </c>
      <c r="AG58" s="14">
        <f>IF(U58="","",SUMIF(data2!$B$2:$B$40003,calculations!$T58,data2!S$2:S$40003))</f>
        <v>32</v>
      </c>
      <c r="AH58" s="14">
        <f>IF(U58="","",SUMIF(data2!$B$2:$B$40003,calculations!$T58,data2!N$2:N$40003))</f>
        <v>223</v>
      </c>
    </row>
    <row r="59" spans="1:34" x14ac:dyDescent="0.3">
      <c r="A59" t="str">
        <f>calculations!$L$3&amp;calculations!$G$3&amp;" "&amp;calculations!$B$3&amp;calculations!$B59</f>
        <v>AllAll Combined45689</v>
      </c>
      <c r="B59" s="17">
        <f>IFERROR(IF(INDEX(lists!F$5:H$200,MATCH(B58,lists!H$5:H$200,1)+1,3)&gt;VLOOKUP(display!$L$5,lists!G$5:I$200,2,FALSE),"",INDEX(lists!F$5:H$200,MATCH(B58,lists!H$5:H$200,1)+1,3)),"")</f>
        <v>45689</v>
      </c>
      <c r="C59" s="14">
        <f>IF(B59="","",IF(SUMIF(data2!$B$2:$B$40003,calculations!$A59,data2!F$2:F$40003)=0,"",SUMIF(data2!$B$2:$B$40003,calculations!$A59,data2!F$2:F$40003)))</f>
        <v>62.5</v>
      </c>
      <c r="D59" s="14">
        <f>IF(B59="","",IF(SUMIF(data2!$B$2:$B$40003,calculations!$A59,data2!G$2:G$40003)=0,"",SUMIF(data2!$B$2:$B$40003,calculations!$A59,data2!G$2:G$40003)))</f>
        <v>84</v>
      </c>
      <c r="E59" s="8">
        <f t="shared" si="0"/>
        <v>0.74404761904761907</v>
      </c>
      <c r="F59" s="14">
        <f>IF($B59="","",IF(SUMIF(data2!$B$2:$B$40003,calculations!$A59,data2!I$2:I$40003)=0,"",SUMIF(data2!$B$2:$B$40003,calculations!$A59,data2!I$2:I$40003)))</f>
        <v>313</v>
      </c>
      <c r="G59" s="14">
        <f>IF($B59="","",IF(SUMIF(data2!$B$2:$B$40003,calculations!$A59,data2!J$2:J$40003)=0,"",SUMIF(data2!$B$2:$B$40003,calculations!$A59,data2!J$2:J$40003)))</f>
        <v>466</v>
      </c>
      <c r="H59" s="8">
        <f t="shared" si="1"/>
        <v>0.6716738197424893</v>
      </c>
      <c r="I59" s="14">
        <f>IF($B59="","",IF(SUMIF(data2!$B$2:$B$40003,calculations!$A59,data2!L$2:L$40003)=0,"",SUMIF(data2!$B$2:$B$40003,calculations!$A59,data2!L$2:L$40003)))</f>
        <v>594</v>
      </c>
      <c r="J59" s="8">
        <f t="shared" si="2"/>
        <v>0.78451178451178449</v>
      </c>
      <c r="K59" s="14">
        <f>IF($B59="","",IF(SUMIF(data2!$B$2:$B$40003,calculations!$A59,data2!P$2:P$40003)=0,IF(L59="","",0),SUMIF(data2!$B$2:$B$40003,calculations!$A59,data2!P$2:P$40003)))</f>
        <v>13</v>
      </c>
      <c r="L59" s="14">
        <f>IF($B59="","",IF(SUMIF(data2!$B$2:$B$40003,calculations!$A59,data2!Q$2:Q$40003)=0,0,SUMIF(data2!$B$2:$B$40003,calculations!$A59,data2!Q$2:Q$40003)))</f>
        <v>24</v>
      </c>
      <c r="M59" s="8">
        <f t="shared" si="3"/>
        <v>0.54166666666666663</v>
      </c>
      <c r="N59" s="14">
        <f>IF(B59="","",SUMIF(data2!$B$2:$B$40003,calculations!$A59,data2!S$2:S$40003))</f>
        <v>46</v>
      </c>
      <c r="O59" s="14">
        <f>IF(B59="","",SUMIF(data2!$B$2:$B$40003,calculations!$A59,data2!N$2:N$40003))</f>
        <v>267</v>
      </c>
      <c r="T59" t="str">
        <f>calculations!$AE$3&amp;calculations!$Z$3&amp;" "&amp;calculations!$U$3&amp;calculations!$U59</f>
        <v>AllAll Combined45323</v>
      </c>
      <c r="U59" s="17">
        <f>IFERROR(IF(INDEX(lists!F$5:H$200,MATCH(U58,lists!H$5:H$200,1)+1,3)&gt;VLOOKUP(display!$AD$5,lists!G$5:I$200,2,FALSE),"",INDEX(lists!F$5:H$200,MATCH(U58,lists!H$5:H$200,1)+1,3)),"")</f>
        <v>45323</v>
      </c>
      <c r="V59" s="14">
        <f>IF(U59="","",IF(SUMIF(data2!$B$2:$B$40003,calculations!$T59,data2!F$2:F$40003)=0,"",SUMIF(data2!$B$2:$B$40003,calculations!$T59,data2!F$2:F$40003)))</f>
        <v>71</v>
      </c>
      <c r="W59" s="14">
        <f>IF(U59="","",IF(SUMIF(data2!$B$2:$B$40003,calculations!$T59,data2!G$2:G$40003)=0,"",SUMIF(data2!$B$2:$B$40003,calculations!$T59,data2!G$2:G$40003)))</f>
        <v>87.5</v>
      </c>
      <c r="X59" s="8">
        <f t="shared" si="4"/>
        <v>0.81142857142857139</v>
      </c>
      <c r="Y59" s="14">
        <f>IF($U59="","",IF(SUMIF(data2!$B$2:$B$40003,calculations!$T59,data2!I$2:I$40003)=0,"",SUMIF(data2!$B$2:$B$40003,calculations!$T59,data2!I$2:I$40003)))</f>
        <v>289</v>
      </c>
      <c r="Z59" s="14">
        <f>IF($U59="","",IF(SUMIF(data2!$B$2:$B$40003,calculations!$T59,data2!J$2:J$40003)=0,"",SUMIF(data2!$B$2:$B$40003,calculations!$T59,data2!J$2:J$40003)))</f>
        <v>493</v>
      </c>
      <c r="AA59" s="8">
        <f t="shared" si="5"/>
        <v>0.58620689655172409</v>
      </c>
      <c r="AB59" s="14">
        <f>IF($U59="","",IF(SUMIF(data2!$B$2:$B$40003,calculations!$T59,data2!L$2:L$40003)=0,"",SUMIF(data2!$B$2:$B$40003,calculations!$T59,data2!L$2:L$40003)))</f>
        <v>618</v>
      </c>
      <c r="AC59" s="8">
        <f t="shared" si="6"/>
        <v>0.79773462783171523</v>
      </c>
      <c r="AD59" s="14">
        <f>IF($U59="","",IF(SUMIF(data2!$B$2:$B$40003,calculations!$T59,data2!P$2:P$40003)=0,IF(AE59="","",0),SUMIF(data2!$B$2:$B$40003,calculations!$T59,data2!P$2:P$40003)))</f>
        <v>16</v>
      </c>
      <c r="AE59" s="14">
        <f>IF($U59="","",IF(SUMIF(data2!$B$2:$B$40003,calculations!$T59,data2!Q$2:Q$40003)=0,0,SUMIF(data2!$B$2:$B$40003,calculations!$T59,data2!Q$2:Q$40003)))</f>
        <v>27</v>
      </c>
      <c r="AF59" s="8">
        <f t="shared" si="7"/>
        <v>0.59259259259259256</v>
      </c>
      <c r="AG59" s="14">
        <f>IF(U59="","",SUMIF(data2!$B$2:$B$40003,calculations!$T59,data2!S$2:S$40003))</f>
        <v>54</v>
      </c>
      <c r="AH59" s="14">
        <f>IF(U59="","",SUMIF(data2!$B$2:$B$40003,calculations!$T59,data2!N$2:N$40003))</f>
        <v>235</v>
      </c>
    </row>
    <row r="60" spans="1:34" x14ac:dyDescent="0.3">
      <c r="A60" t="s">
        <v>44170</v>
      </c>
      <c r="B60" s="6" t="s">
        <v>44171</v>
      </c>
      <c r="C60" s="39">
        <f>AVERAGE(C48:C59)</f>
        <v>63.208333333333336</v>
      </c>
      <c r="D60" s="39">
        <f>AVERAGE(D48:D59)</f>
        <v>85.625</v>
      </c>
      <c r="E60" s="8">
        <f>C60/D60</f>
        <v>0.73819951338199519</v>
      </c>
      <c r="F60" s="39">
        <f>AVERAGE(F48:F59)</f>
        <v>284.16666666666669</v>
      </c>
      <c r="G60" s="39">
        <f>AVERAGE(G48:G59)</f>
        <v>467.83333333333331</v>
      </c>
      <c r="H60" s="8">
        <f t="shared" si="1"/>
        <v>0.6074100463127895</v>
      </c>
      <c r="I60" s="39">
        <f>AVERAGE(I48:I59)</f>
        <v>607.33333333333337</v>
      </c>
      <c r="J60" s="8">
        <f>G60/I60</f>
        <v>0.77030735455543353</v>
      </c>
      <c r="K60" s="39">
        <f>AVERAGE(K48:K59)</f>
        <v>21.833333333333332</v>
      </c>
      <c r="L60" s="39">
        <f>AVERAGE(L48:L59)</f>
        <v>31.583333333333332</v>
      </c>
      <c r="M60" s="8">
        <f t="shared" si="3"/>
        <v>0.69129287598944589</v>
      </c>
      <c r="N60" s="39">
        <f>AVERAGE(N48:N59)</f>
        <v>35.833333333333336</v>
      </c>
      <c r="O60" s="39">
        <f>AVERAGE(O48:O59)</f>
        <v>249.75</v>
      </c>
      <c r="T60" t="s">
        <v>44170</v>
      </c>
      <c r="U60" s="6" t="s">
        <v>44172</v>
      </c>
      <c r="V60" s="39">
        <f>AVERAGE(V48:V59)</f>
        <v>68.625</v>
      </c>
      <c r="W60" s="39">
        <f>AVERAGE(W48:W59)</f>
        <v>80.625</v>
      </c>
      <c r="X60" s="8">
        <f>V60/W60</f>
        <v>0.85116279069767442</v>
      </c>
      <c r="Y60" s="39">
        <f>AVERAGE(Y48:Y59)</f>
        <v>252.75</v>
      </c>
      <c r="Z60" s="39">
        <f>AVERAGE(Z48:Z59)</f>
        <v>522.58333333333337</v>
      </c>
      <c r="AA60" s="8">
        <f>Y60/Z60</f>
        <v>0.48365491947057881</v>
      </c>
      <c r="AB60" s="39">
        <f>AVERAGE(AB48:AB59)</f>
        <v>603.08333333333337</v>
      </c>
      <c r="AC60" s="8">
        <f>Z60/AB60</f>
        <v>0.86651927594307032</v>
      </c>
      <c r="AD60" s="39">
        <f>AVERAGE(AD48:AD59)</f>
        <v>19.25</v>
      </c>
      <c r="AE60" s="39">
        <f>AVERAGE(AE48:AE59)</f>
        <v>28.916666666666668</v>
      </c>
      <c r="AF60" s="8">
        <f>IF(U60="","",IF(AE60="","",AD60/AE60))</f>
        <v>0.66570605187319887</v>
      </c>
      <c r="AG60" s="39">
        <f>AVERAGE(AG48:AG59)</f>
        <v>29.583333333333332</v>
      </c>
      <c r="AH60" s="39">
        <f>AVERAGE(AH48:AH59)</f>
        <v>230.75</v>
      </c>
    </row>
    <row r="61" spans="1:34" ht="15" thickBot="1" x14ac:dyDescent="0.35">
      <c r="A61" t="s">
        <v>44173</v>
      </c>
      <c r="B61" s="6" t="s">
        <v>44174</v>
      </c>
      <c r="C61" s="39"/>
      <c r="D61" s="39"/>
      <c r="E61" s="8"/>
      <c r="F61" s="39"/>
      <c r="G61" s="39"/>
      <c r="H61" s="8"/>
      <c r="I61" s="39"/>
      <c r="J61" s="8"/>
      <c r="K61" s="39">
        <f>SUM(K48:K59)</f>
        <v>262</v>
      </c>
      <c r="L61" s="39">
        <f>SUM(L48:L59)</f>
        <v>379</v>
      </c>
      <c r="M61" s="8">
        <f t="shared" si="3"/>
        <v>0.69129287598944589</v>
      </c>
      <c r="N61" s="39">
        <f>SUM(N48:N59)</f>
        <v>430</v>
      </c>
      <c r="O61" s="39"/>
      <c r="T61" t="s">
        <v>44173</v>
      </c>
      <c r="U61" s="6" t="s">
        <v>44174</v>
      </c>
      <c r="V61" s="39"/>
      <c r="W61" s="39"/>
      <c r="X61" s="8"/>
      <c r="Y61" s="39"/>
      <c r="Z61" s="39"/>
      <c r="AA61" s="8"/>
      <c r="AB61" s="39"/>
      <c r="AC61" s="8"/>
      <c r="AD61" s="39">
        <f>SUM(AD48:AD59)</f>
        <v>231</v>
      </c>
      <c r="AE61" s="39">
        <f>SUM(AE48:AE59)</f>
        <v>347</v>
      </c>
      <c r="AF61" s="8"/>
      <c r="AG61" s="39">
        <f>SUM(AG48:AG59)</f>
        <v>355</v>
      </c>
      <c r="AH61" s="39"/>
    </row>
    <row r="62" spans="1:34" ht="15" thickBot="1" x14ac:dyDescent="0.35">
      <c r="A62" s="32" t="s">
        <v>44175</v>
      </c>
      <c r="B62" s="40"/>
      <c r="C62" s="40"/>
      <c r="D62" s="40"/>
      <c r="E62" s="33">
        <f>IF(4*(AVERAGE(E51:E53))&gt;4,4,4*(AVERAGE(E51:E53)))</f>
        <v>2.857898215465962</v>
      </c>
      <c r="F62" s="40"/>
      <c r="G62" s="40"/>
      <c r="H62" s="33">
        <f>IF(4*(AVERAGE(H51:H53))&gt;4,4,4*(AVERAGE(H51:H53)))</f>
        <v>2.5127658340623205</v>
      </c>
      <c r="I62" s="40"/>
      <c r="J62" s="33">
        <f>IF(4*(AVERAGE(J51:J53))&gt;4,4,4*(AVERAGE(J51:J53)))</f>
        <v>2.9934949981668679</v>
      </c>
      <c r="K62" s="40"/>
      <c r="L62" s="40"/>
      <c r="M62" s="64">
        <f>IF(SUM(calculations!L51:L53)=0,0,4*(SUM(K51:K53)/SUM(L51:L53)))</f>
        <v>2.7572815533980584</v>
      </c>
      <c r="N62" s="40"/>
      <c r="O62" s="66"/>
      <c r="T62" s="32" t="s">
        <v>44175</v>
      </c>
      <c r="U62" s="40"/>
      <c r="V62" s="40"/>
      <c r="W62" s="40"/>
      <c r="X62" s="33">
        <f>IF(4*(AVERAGE(X51:X53))&gt;4,4,4*(AVERAGE(X51:X53)))</f>
        <v>3.4494623655913976</v>
      </c>
      <c r="Y62" s="40"/>
      <c r="Z62" s="40"/>
      <c r="AA62" s="33">
        <f>IF(4*(AVERAGE(AA51:AA53))&gt;4,4,4*(AVERAGE(AA51:AA53)))</f>
        <v>1.7175902452807252</v>
      </c>
      <c r="AB62" s="40"/>
      <c r="AC62" s="33">
        <f>IF(4*(AVERAGE(AC51:AC53))&gt;4,4,4*(AVERAGE(AC51:AC53)))</f>
        <v>3.5189456342668861</v>
      </c>
      <c r="AD62" s="40"/>
      <c r="AE62" s="40"/>
      <c r="AF62" s="64">
        <f>IF(SUM(calculations!AE51:AE53)=0,0,4*(SUM(AD51:AD53)/SUM(AE51:AE53)))</f>
        <v>2.4848484848484849</v>
      </c>
      <c r="AG62" s="40"/>
      <c r="AH62" s="66"/>
    </row>
    <row r="63" spans="1:34" ht="15" thickBot="1" x14ac:dyDescent="0.35">
      <c r="A63" s="34" t="s">
        <v>44176</v>
      </c>
      <c r="B63" s="41"/>
      <c r="C63" s="41"/>
      <c r="D63" s="41"/>
      <c r="E63" s="35">
        <f>IF(4*(AVERAGE(E48:E50))&gt;4,4,4*(AVERAGE(E48:E50)))</f>
        <v>3.0737720706260028</v>
      </c>
      <c r="F63" s="41"/>
      <c r="G63" s="41"/>
      <c r="H63" s="35">
        <f>IF(4*(AVERAGE(H48:H50))&gt;4,4,4*(AVERAGE(H48:H50)))</f>
        <v>2.4237193602165252</v>
      </c>
      <c r="I63" s="41"/>
      <c r="J63" s="35">
        <f>IF(4*(AVERAGE(J48:J50))&gt;4,4,4*(AVERAGE(J48:J50)))</f>
        <v>3.0826500684126543</v>
      </c>
      <c r="K63" s="41"/>
      <c r="L63" s="41"/>
      <c r="M63" s="65">
        <f>IF(SUM(calculations!L48:L50)=0,0,4*(SUM(K48:K50)/SUM(L48:L50)))</f>
        <v>2.6666666666666665</v>
      </c>
      <c r="N63" s="41"/>
      <c r="O63" s="67"/>
      <c r="T63" s="34" t="s">
        <v>44176</v>
      </c>
      <c r="U63" s="41"/>
      <c r="V63" s="41"/>
      <c r="W63" s="41"/>
      <c r="X63" s="35">
        <f>IF(4*(AVERAGE(X48:X50))&gt;4,4,4*(AVERAGE(X48:X50)))</f>
        <v>3.5852292020373517</v>
      </c>
      <c r="Y63" s="41"/>
      <c r="Z63" s="41"/>
      <c r="AA63" s="35">
        <f>IF(4*(AVERAGE(AA48:AA50))&gt;4,4,4*(AVERAGE(AA48:AA50)))</f>
        <v>2.0153643580715914</v>
      </c>
      <c r="AB63" s="41"/>
      <c r="AC63" s="35">
        <f>IF(4*(AVERAGE(AC48:AC50))&gt;4,4,4*(AVERAGE(AC48:AC50)))</f>
        <v>3.7078528281164194</v>
      </c>
      <c r="AD63" s="41"/>
      <c r="AE63" s="41"/>
      <c r="AF63" s="65">
        <f>IF(SUM(calculations!AE48:AE50)=0,0,4*(SUM(AD48:AD50)/SUM(AE48:AE50)))</f>
        <v>2.2790697674418605</v>
      </c>
      <c r="AG63" s="41"/>
      <c r="AH63" s="67"/>
    </row>
    <row r="65" spans="1:37" x14ac:dyDescent="0.3">
      <c r="A65" t="s">
        <v>44177</v>
      </c>
    </row>
    <row r="66" spans="1:37" ht="57.6" x14ac:dyDescent="0.3">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x14ac:dyDescent="0.3">
      <c r="A67" t="s">
        <v>19</v>
      </c>
      <c r="B67" s="9">
        <f t="shared" ref="B67:B78" si="8">IF(B48="","",B48)</f>
        <v>45352</v>
      </c>
      <c r="C67" s="100">
        <f t="shared" ref="C67:C78" si="9">IF(B48="","",D48)</f>
        <v>87.5</v>
      </c>
      <c r="D67">
        <f t="shared" ref="D67:D78" si="10">IF(B48="","",C48)</f>
        <v>68.5</v>
      </c>
      <c r="E67">
        <f t="shared" ref="E67:E78" si="11">IF(B48="","",C67-D67)</f>
        <v>19</v>
      </c>
      <c r="F67">
        <f t="shared" ref="F67:F78" si="12">IF(B48="","",G48)</f>
        <v>487</v>
      </c>
      <c r="G67">
        <f>H67-F67</f>
        <v>131</v>
      </c>
      <c r="H67">
        <f>IF(B48="","",I48)</f>
        <v>618</v>
      </c>
      <c r="I67">
        <f>IF(C48="","",F48)</f>
        <v>292</v>
      </c>
      <c r="J67">
        <f>F67-I67</f>
        <v>195</v>
      </c>
      <c r="K67">
        <f>IF(E48="","",K48)</f>
        <v>26</v>
      </c>
      <c r="L67">
        <f>IF(F48="","",L48)</f>
        <v>41</v>
      </c>
      <c r="M67">
        <f>L67-K67</f>
        <v>15</v>
      </c>
      <c r="N67">
        <f>IF(F48="","",F46)</f>
        <v>289</v>
      </c>
      <c r="O67">
        <f>IF(F48="","",N48)</f>
        <v>45</v>
      </c>
      <c r="P67">
        <f t="shared" ref="P67:P78" si="13">IF(B67="","",N67+O67)</f>
        <v>334</v>
      </c>
      <c r="Q67">
        <f>IF(B67="","",IF(N68="",R66-N67,P67-L67-N68))</f>
        <v>1</v>
      </c>
      <c r="R67">
        <f t="shared" ref="R67:R78" si="14">IF(D67="","",P67-Q67-L67)</f>
        <v>292</v>
      </c>
      <c r="T67" t="s">
        <v>19</v>
      </c>
      <c r="U67" s="9">
        <f t="shared" ref="U67:U78" si="15">IF(U48="","",U48)</f>
        <v>44986</v>
      </c>
      <c r="V67" s="100">
        <f t="shared" ref="V67:V78" si="16">IF(U48="","",W48)</f>
        <v>76</v>
      </c>
      <c r="W67">
        <f t="shared" ref="W67:W78" si="17">IF(U48="","",V48)</f>
        <v>70.5</v>
      </c>
      <c r="X67">
        <f t="shared" ref="X67:X78" si="18">IF(U48="","",V67-W67)</f>
        <v>5.5</v>
      </c>
      <c r="Y67">
        <f t="shared" ref="Y67:Y78" si="19">IF(U48="","",Z48)</f>
        <v>577</v>
      </c>
      <c r="Z67">
        <f>AA67-Y67</f>
        <v>30</v>
      </c>
      <c r="AA67">
        <f>IF(U48="","",AB48)</f>
        <v>607</v>
      </c>
      <c r="AB67">
        <f t="shared" ref="AB67:AB72" si="20">IF(U48="","",Y48)</f>
        <v>286</v>
      </c>
      <c r="AC67">
        <f>Y67-AB67</f>
        <v>291</v>
      </c>
      <c r="AD67">
        <f>IF(X48="","",AD48)</f>
        <v>24</v>
      </c>
      <c r="AE67">
        <f>IF(Y48="","",AE48)</f>
        <v>35</v>
      </c>
      <c r="AF67">
        <f>AE67-AD67</f>
        <v>11</v>
      </c>
      <c r="AG67">
        <f>IF(Y48="","",Y46)</f>
        <v>279</v>
      </c>
      <c r="AH67">
        <f>IF(Y48="","",AG48)</f>
        <v>39</v>
      </c>
      <c r="AI67">
        <f>IF(U67="","",AG67+AH67)</f>
        <v>318</v>
      </c>
      <c r="AJ67">
        <f>IF(U67="","",IF(AG68="",AK66-AG67,AI67-AE67-AG68))</f>
        <v>-3</v>
      </c>
      <c r="AK67">
        <f t="shared" ref="AK67:AK78" si="21">IF(W67="","",AI67-AJ67-AE67)</f>
        <v>286</v>
      </c>
    </row>
    <row r="68" spans="1:37" x14ac:dyDescent="0.3">
      <c r="B68" s="9">
        <f t="shared" si="8"/>
        <v>45383</v>
      </c>
      <c r="C68" s="100">
        <f t="shared" si="9"/>
        <v>89</v>
      </c>
      <c r="D68">
        <f t="shared" si="10"/>
        <v>68.5</v>
      </c>
      <c r="E68">
        <f t="shared" si="11"/>
        <v>20.5</v>
      </c>
      <c r="F68">
        <f t="shared" si="12"/>
        <v>479</v>
      </c>
      <c r="G68">
        <f t="shared" ref="G68:G78" si="22">H68-F68</f>
        <v>147</v>
      </c>
      <c r="H68">
        <f t="shared" ref="H68:H78" si="23">IF(B49="","",I49)</f>
        <v>626</v>
      </c>
      <c r="I68">
        <f t="shared" ref="I68:I78" si="24">IF(C49="","",F49)</f>
        <v>282</v>
      </c>
      <c r="J68">
        <f t="shared" ref="J68:J78" si="25">F68-I68</f>
        <v>197</v>
      </c>
      <c r="K68">
        <f>IF(E49="",0,K49)</f>
        <v>21</v>
      </c>
      <c r="L68">
        <f t="shared" ref="L68" si="26">IF(F49="","",L49)</f>
        <v>33</v>
      </c>
      <c r="M68">
        <f>IFERROR(L68-K68,0)</f>
        <v>12</v>
      </c>
      <c r="N68">
        <f>IF(F49="","",F48)</f>
        <v>292</v>
      </c>
      <c r="O68">
        <f t="shared" ref="O68:O78" si="27">IF(F49="","",N49)</f>
        <v>23</v>
      </c>
      <c r="P68">
        <f t="shared" si="13"/>
        <v>315</v>
      </c>
      <c r="Q68">
        <f t="shared" ref="Q68:Q77" si="28">IF(B68="","",IF(N69="",R67-N68,P68-L68-N69))</f>
        <v>0</v>
      </c>
      <c r="R68">
        <f t="shared" si="14"/>
        <v>282</v>
      </c>
      <c r="U68" s="9">
        <f t="shared" si="15"/>
        <v>45017</v>
      </c>
      <c r="V68" s="100">
        <f t="shared" si="16"/>
        <v>77.5</v>
      </c>
      <c r="W68">
        <f t="shared" si="17"/>
        <v>70</v>
      </c>
      <c r="X68">
        <f t="shared" si="18"/>
        <v>7.5</v>
      </c>
      <c r="Y68">
        <f t="shared" si="19"/>
        <v>573</v>
      </c>
      <c r="Z68">
        <f t="shared" ref="Z68:Z78" si="29">AA68-Y68</f>
        <v>34</v>
      </c>
      <c r="AA68">
        <f t="shared" ref="AA68:AA78" si="30">IF(U49="","",AB49)</f>
        <v>607</v>
      </c>
      <c r="AB68">
        <f t="shared" si="20"/>
        <v>286</v>
      </c>
      <c r="AC68">
        <f t="shared" ref="AC68:AC78" si="31">Y68-AB68</f>
        <v>287</v>
      </c>
      <c r="AD68">
        <f t="shared" ref="AD68:AD78" si="32">IF(X49="","",AD49)</f>
        <v>13</v>
      </c>
      <c r="AE68">
        <f t="shared" ref="AE68:AE78" si="33">IF(Y49="","",AE49)</f>
        <v>30</v>
      </c>
      <c r="AF68">
        <f t="shared" ref="AF68:AF78" si="34">AE68-AD68</f>
        <v>17</v>
      </c>
      <c r="AG68">
        <f>IF(Y49="","",Y48)</f>
        <v>286</v>
      </c>
      <c r="AH68">
        <f t="shared" ref="AH68:AH78" si="35">IF(Y49="","",AG49)</f>
        <v>36</v>
      </c>
      <c r="AI68">
        <f t="shared" ref="AI68:AI79" si="36">IF(U68="","",AG68+AH68)</f>
        <v>322</v>
      </c>
      <c r="AJ68">
        <f t="shared" ref="AJ68:AJ77" si="37">IF(U68="","",IF(AG69="",AK67-AG68,AI68-AE68-AG69))</f>
        <v>6</v>
      </c>
      <c r="AK68">
        <f t="shared" si="21"/>
        <v>286</v>
      </c>
    </row>
    <row r="69" spans="1:37" x14ac:dyDescent="0.3">
      <c r="A69" t="s">
        <v>17</v>
      </c>
      <c r="B69" s="9">
        <f t="shared" si="8"/>
        <v>45413</v>
      </c>
      <c r="C69" s="100">
        <f t="shared" si="9"/>
        <v>89</v>
      </c>
      <c r="D69">
        <f t="shared" si="10"/>
        <v>67</v>
      </c>
      <c r="E69">
        <f t="shared" si="11"/>
        <v>22</v>
      </c>
      <c r="F69">
        <f t="shared" si="12"/>
        <v>475</v>
      </c>
      <c r="G69">
        <f t="shared" si="22"/>
        <v>151</v>
      </c>
      <c r="H69">
        <f t="shared" si="23"/>
        <v>626</v>
      </c>
      <c r="I69">
        <f t="shared" si="24"/>
        <v>299</v>
      </c>
      <c r="J69">
        <f t="shared" si="25"/>
        <v>176</v>
      </c>
      <c r="K69">
        <f t="shared" ref="K69:L69" si="38">IF(E50="","",K50)</f>
        <v>19</v>
      </c>
      <c r="L69">
        <f t="shared" si="38"/>
        <v>25</v>
      </c>
      <c r="M69">
        <f t="shared" ref="M69:M78" si="39">L69-K69</f>
        <v>6</v>
      </c>
      <c r="N69">
        <f t="shared" ref="N69:N78" si="40">IF(F50="","",F49)</f>
        <v>282</v>
      </c>
      <c r="O69">
        <f t="shared" si="27"/>
        <v>39</v>
      </c>
      <c r="P69">
        <f t="shared" si="13"/>
        <v>321</v>
      </c>
      <c r="Q69">
        <f t="shared" si="28"/>
        <v>-3</v>
      </c>
      <c r="R69">
        <f t="shared" si="14"/>
        <v>299</v>
      </c>
      <c r="T69" t="s">
        <v>17</v>
      </c>
      <c r="U69" s="9">
        <f t="shared" si="15"/>
        <v>45047</v>
      </c>
      <c r="V69" s="100">
        <f t="shared" si="16"/>
        <v>77.5</v>
      </c>
      <c r="W69">
        <f t="shared" si="17"/>
        <v>66.5</v>
      </c>
      <c r="X69">
        <f t="shared" si="18"/>
        <v>11</v>
      </c>
      <c r="Y69">
        <f t="shared" si="19"/>
        <v>538</v>
      </c>
      <c r="Z69">
        <f t="shared" si="29"/>
        <v>69</v>
      </c>
      <c r="AA69">
        <f t="shared" si="30"/>
        <v>607</v>
      </c>
      <c r="AB69">
        <f t="shared" si="20"/>
        <v>278</v>
      </c>
      <c r="AC69">
        <f t="shared" si="31"/>
        <v>260</v>
      </c>
      <c r="AD69">
        <f t="shared" si="32"/>
        <v>12</v>
      </c>
      <c r="AE69">
        <f t="shared" si="33"/>
        <v>21</v>
      </c>
      <c r="AF69">
        <f t="shared" si="34"/>
        <v>9</v>
      </c>
      <c r="AG69">
        <f t="shared" ref="AG69:AG78" si="41">IF(Y50="","",Y49)</f>
        <v>286</v>
      </c>
      <c r="AH69">
        <f t="shared" si="35"/>
        <v>15</v>
      </c>
      <c r="AI69">
        <f t="shared" si="36"/>
        <v>301</v>
      </c>
      <c r="AJ69">
        <f t="shared" si="37"/>
        <v>2</v>
      </c>
      <c r="AK69">
        <f t="shared" si="21"/>
        <v>278</v>
      </c>
    </row>
    <row r="70" spans="1:37" x14ac:dyDescent="0.3">
      <c r="B70" s="9">
        <f t="shared" si="8"/>
        <v>45444</v>
      </c>
      <c r="C70" s="100">
        <f t="shared" si="9"/>
        <v>89</v>
      </c>
      <c r="D70">
        <f t="shared" si="10"/>
        <v>62.5</v>
      </c>
      <c r="E70">
        <f t="shared" si="11"/>
        <v>26.5</v>
      </c>
      <c r="F70">
        <f t="shared" si="12"/>
        <v>449</v>
      </c>
      <c r="G70">
        <f t="shared" si="22"/>
        <v>177</v>
      </c>
      <c r="H70">
        <f t="shared" si="23"/>
        <v>626</v>
      </c>
      <c r="I70">
        <f t="shared" si="24"/>
        <v>296</v>
      </c>
      <c r="J70">
        <f t="shared" si="25"/>
        <v>153</v>
      </c>
      <c r="K70">
        <f t="shared" ref="K70:L70" si="42">IF(E51="","",K51)</f>
        <v>22</v>
      </c>
      <c r="L70">
        <f t="shared" si="42"/>
        <v>33</v>
      </c>
      <c r="M70">
        <f t="shared" si="39"/>
        <v>11</v>
      </c>
      <c r="N70">
        <f t="shared" si="40"/>
        <v>299</v>
      </c>
      <c r="O70">
        <f t="shared" si="27"/>
        <v>29</v>
      </c>
      <c r="P70">
        <f t="shared" si="13"/>
        <v>328</v>
      </c>
      <c r="Q70">
        <f t="shared" si="28"/>
        <v>-1</v>
      </c>
      <c r="R70">
        <f t="shared" si="14"/>
        <v>296</v>
      </c>
      <c r="U70" s="9">
        <f t="shared" si="15"/>
        <v>45078</v>
      </c>
      <c r="V70" s="100">
        <f t="shared" si="16"/>
        <v>77.5</v>
      </c>
      <c r="W70">
        <f t="shared" si="17"/>
        <v>66.5</v>
      </c>
      <c r="X70">
        <f t="shared" si="18"/>
        <v>11</v>
      </c>
      <c r="Y70">
        <f t="shared" si="19"/>
        <v>533</v>
      </c>
      <c r="Z70">
        <f t="shared" si="29"/>
        <v>74</v>
      </c>
      <c r="AA70">
        <f t="shared" si="30"/>
        <v>607</v>
      </c>
      <c r="AB70">
        <f t="shared" si="20"/>
        <v>250</v>
      </c>
      <c r="AC70">
        <f t="shared" si="31"/>
        <v>283</v>
      </c>
      <c r="AD70">
        <f t="shared" si="32"/>
        <v>17</v>
      </c>
      <c r="AE70">
        <f t="shared" si="33"/>
        <v>25</v>
      </c>
      <c r="AF70">
        <f t="shared" si="34"/>
        <v>8</v>
      </c>
      <c r="AG70">
        <f t="shared" si="41"/>
        <v>278</v>
      </c>
      <c r="AH70">
        <f t="shared" si="35"/>
        <v>7</v>
      </c>
      <c r="AI70">
        <f t="shared" si="36"/>
        <v>285</v>
      </c>
      <c r="AJ70">
        <f t="shared" si="37"/>
        <v>10</v>
      </c>
      <c r="AK70">
        <f t="shared" si="21"/>
        <v>250</v>
      </c>
    </row>
    <row r="71" spans="1:37" x14ac:dyDescent="0.3">
      <c r="A71" t="s">
        <v>21</v>
      </c>
      <c r="B71" s="9">
        <f t="shared" si="8"/>
        <v>45474</v>
      </c>
      <c r="C71" s="100">
        <f t="shared" si="9"/>
        <v>85</v>
      </c>
      <c r="D71">
        <f t="shared" si="10"/>
        <v>61.5</v>
      </c>
      <c r="E71">
        <f t="shared" si="11"/>
        <v>23.5</v>
      </c>
      <c r="F71">
        <f t="shared" si="12"/>
        <v>460</v>
      </c>
      <c r="G71">
        <f t="shared" si="22"/>
        <v>150</v>
      </c>
      <c r="H71">
        <f t="shared" si="23"/>
        <v>610</v>
      </c>
      <c r="I71">
        <f t="shared" si="24"/>
        <v>282</v>
      </c>
      <c r="J71">
        <f t="shared" si="25"/>
        <v>178</v>
      </c>
      <c r="K71">
        <f t="shared" ref="K71:L71" si="43">IF(E52="","",K52)</f>
        <v>27</v>
      </c>
      <c r="L71">
        <f t="shared" si="43"/>
        <v>35</v>
      </c>
      <c r="M71">
        <f t="shared" si="39"/>
        <v>8</v>
      </c>
      <c r="N71">
        <f t="shared" si="40"/>
        <v>296</v>
      </c>
      <c r="O71">
        <f t="shared" si="27"/>
        <v>45</v>
      </c>
      <c r="P71">
        <f t="shared" si="13"/>
        <v>341</v>
      </c>
      <c r="Q71">
        <f t="shared" si="28"/>
        <v>24</v>
      </c>
      <c r="R71">
        <f t="shared" si="14"/>
        <v>282</v>
      </c>
      <c r="T71" t="s">
        <v>21</v>
      </c>
      <c r="U71" s="9">
        <f t="shared" si="15"/>
        <v>45108</v>
      </c>
      <c r="V71" s="100">
        <f t="shared" si="16"/>
        <v>77.5</v>
      </c>
      <c r="W71">
        <f t="shared" si="17"/>
        <v>67.5</v>
      </c>
      <c r="X71">
        <f t="shared" si="18"/>
        <v>10</v>
      </c>
      <c r="Y71">
        <f t="shared" si="19"/>
        <v>538</v>
      </c>
      <c r="Z71">
        <f t="shared" si="29"/>
        <v>69</v>
      </c>
      <c r="AA71">
        <f t="shared" si="30"/>
        <v>607</v>
      </c>
      <c r="AB71">
        <f t="shared" si="20"/>
        <v>233</v>
      </c>
      <c r="AC71">
        <f t="shared" si="31"/>
        <v>305</v>
      </c>
      <c r="AD71">
        <f t="shared" si="32"/>
        <v>15</v>
      </c>
      <c r="AE71">
        <f t="shared" si="33"/>
        <v>28</v>
      </c>
      <c r="AF71">
        <f t="shared" si="34"/>
        <v>13</v>
      </c>
      <c r="AG71">
        <f t="shared" si="41"/>
        <v>250</v>
      </c>
      <c r="AH71">
        <f t="shared" si="35"/>
        <v>13</v>
      </c>
      <c r="AI71">
        <f t="shared" si="36"/>
        <v>263</v>
      </c>
      <c r="AJ71">
        <f t="shared" si="37"/>
        <v>2</v>
      </c>
      <c r="AK71">
        <f t="shared" si="21"/>
        <v>233</v>
      </c>
    </row>
    <row r="72" spans="1:37" x14ac:dyDescent="0.3">
      <c r="B72" s="9">
        <f t="shared" si="8"/>
        <v>45505</v>
      </c>
      <c r="C72" s="100">
        <f t="shared" si="9"/>
        <v>85</v>
      </c>
      <c r="D72">
        <f t="shared" si="10"/>
        <v>61</v>
      </c>
      <c r="E72">
        <f t="shared" si="11"/>
        <v>24</v>
      </c>
      <c r="F72">
        <f t="shared" si="12"/>
        <v>472</v>
      </c>
      <c r="G72">
        <f t="shared" si="22"/>
        <v>138</v>
      </c>
      <c r="H72">
        <f t="shared" si="23"/>
        <v>610</v>
      </c>
      <c r="I72">
        <f t="shared" si="24"/>
        <v>289</v>
      </c>
      <c r="J72">
        <f t="shared" si="25"/>
        <v>183</v>
      </c>
      <c r="K72">
        <f t="shared" ref="K72:L72" si="44">IF(E53="","",K53)</f>
        <v>22</v>
      </c>
      <c r="L72">
        <f t="shared" si="44"/>
        <v>35</v>
      </c>
      <c r="M72">
        <f t="shared" si="39"/>
        <v>13</v>
      </c>
      <c r="N72">
        <f t="shared" si="40"/>
        <v>282</v>
      </c>
      <c r="O72">
        <f t="shared" si="27"/>
        <v>37</v>
      </c>
      <c r="P72">
        <f t="shared" si="13"/>
        <v>319</v>
      </c>
      <c r="Q72">
        <f t="shared" si="28"/>
        <v>-5</v>
      </c>
      <c r="R72">
        <f t="shared" si="14"/>
        <v>289</v>
      </c>
      <c r="U72" s="9">
        <f t="shared" si="15"/>
        <v>45139</v>
      </c>
      <c r="V72" s="100">
        <f t="shared" si="16"/>
        <v>77.5</v>
      </c>
      <c r="W72">
        <f t="shared" si="17"/>
        <v>66.5</v>
      </c>
      <c r="X72">
        <f t="shared" si="18"/>
        <v>11</v>
      </c>
      <c r="Y72">
        <f t="shared" si="19"/>
        <v>531</v>
      </c>
      <c r="Z72">
        <f t="shared" si="29"/>
        <v>76</v>
      </c>
      <c r="AA72">
        <f t="shared" si="30"/>
        <v>607</v>
      </c>
      <c r="AB72">
        <f t="shared" si="20"/>
        <v>205</v>
      </c>
      <c r="AC72">
        <f t="shared" si="31"/>
        <v>326</v>
      </c>
      <c r="AD72">
        <f t="shared" si="32"/>
        <v>9</v>
      </c>
      <c r="AE72">
        <f t="shared" si="33"/>
        <v>13</v>
      </c>
      <c r="AF72">
        <f t="shared" si="34"/>
        <v>4</v>
      </c>
      <c r="AG72">
        <f t="shared" si="41"/>
        <v>233</v>
      </c>
      <c r="AH72">
        <f t="shared" si="35"/>
        <v>12</v>
      </c>
      <c r="AI72">
        <f t="shared" si="36"/>
        <v>245</v>
      </c>
      <c r="AJ72">
        <f t="shared" si="37"/>
        <v>27</v>
      </c>
      <c r="AK72">
        <f t="shared" si="21"/>
        <v>205</v>
      </c>
    </row>
    <row r="73" spans="1:37" x14ac:dyDescent="0.3">
      <c r="A73" t="s">
        <v>22</v>
      </c>
      <c r="B73" s="9">
        <f t="shared" si="8"/>
        <v>45536</v>
      </c>
      <c r="C73" s="100">
        <f t="shared" si="9"/>
        <v>85</v>
      </c>
      <c r="D73">
        <f t="shared" si="10"/>
        <v>60.5</v>
      </c>
      <c r="E73">
        <f t="shared" si="11"/>
        <v>24.5</v>
      </c>
      <c r="F73">
        <f t="shared" si="12"/>
        <v>469</v>
      </c>
      <c r="G73">
        <f t="shared" si="22"/>
        <v>141</v>
      </c>
      <c r="H73">
        <f t="shared" si="23"/>
        <v>610</v>
      </c>
      <c r="I73">
        <f t="shared" si="24"/>
        <v>268</v>
      </c>
      <c r="J73">
        <f t="shared" si="25"/>
        <v>201</v>
      </c>
      <c r="K73">
        <f t="shared" ref="K73:L73" si="45">IF(E54="","",K54)</f>
        <v>24</v>
      </c>
      <c r="L73">
        <f t="shared" si="45"/>
        <v>36</v>
      </c>
      <c r="M73">
        <f t="shared" si="39"/>
        <v>12</v>
      </c>
      <c r="N73">
        <f t="shared" si="40"/>
        <v>289</v>
      </c>
      <c r="O73">
        <f t="shared" si="27"/>
        <v>19</v>
      </c>
      <c r="P73">
        <f t="shared" si="13"/>
        <v>308</v>
      </c>
      <c r="Q73">
        <f t="shared" si="28"/>
        <v>4</v>
      </c>
      <c r="R73">
        <f t="shared" si="14"/>
        <v>268</v>
      </c>
      <c r="T73" t="s">
        <v>22</v>
      </c>
      <c r="U73" s="9">
        <f t="shared" si="15"/>
        <v>45170</v>
      </c>
      <c r="V73" s="100">
        <f t="shared" si="16"/>
        <v>69.5</v>
      </c>
      <c r="W73">
        <f t="shared" si="17"/>
        <v>61</v>
      </c>
      <c r="X73">
        <f t="shared" si="18"/>
        <v>8.5</v>
      </c>
      <c r="Y73">
        <f t="shared" si="19"/>
        <v>472</v>
      </c>
      <c r="Z73">
        <f t="shared" si="29"/>
        <v>51</v>
      </c>
      <c r="AA73">
        <f t="shared" si="30"/>
        <v>523</v>
      </c>
      <c r="AB73">
        <f>IF(U54="","",Y54)</f>
        <v>220</v>
      </c>
      <c r="AC73">
        <f t="shared" si="31"/>
        <v>252</v>
      </c>
      <c r="AD73">
        <f t="shared" si="32"/>
        <v>33</v>
      </c>
      <c r="AE73">
        <f t="shared" si="33"/>
        <v>39</v>
      </c>
      <c r="AF73">
        <f t="shared" si="34"/>
        <v>6</v>
      </c>
      <c r="AG73">
        <f t="shared" si="41"/>
        <v>205</v>
      </c>
      <c r="AH73">
        <f t="shared" si="35"/>
        <v>23</v>
      </c>
      <c r="AI73">
        <f t="shared" si="36"/>
        <v>228</v>
      </c>
      <c r="AJ73">
        <f t="shared" si="37"/>
        <v>-31</v>
      </c>
      <c r="AK73">
        <f t="shared" si="21"/>
        <v>220</v>
      </c>
    </row>
    <row r="74" spans="1:37" x14ac:dyDescent="0.3">
      <c r="B74" s="9">
        <f t="shared" si="8"/>
        <v>45566</v>
      </c>
      <c r="C74" s="100">
        <f t="shared" si="9"/>
        <v>82</v>
      </c>
      <c r="D74">
        <f t="shared" si="10"/>
        <v>60.5</v>
      </c>
      <c r="E74">
        <f t="shared" si="11"/>
        <v>21.5</v>
      </c>
      <c r="F74">
        <f t="shared" si="12"/>
        <v>461</v>
      </c>
      <c r="G74">
        <f t="shared" si="22"/>
        <v>125</v>
      </c>
      <c r="H74">
        <f t="shared" si="23"/>
        <v>586</v>
      </c>
      <c r="I74">
        <f t="shared" si="24"/>
        <v>262</v>
      </c>
      <c r="J74">
        <f t="shared" si="25"/>
        <v>199</v>
      </c>
      <c r="K74">
        <f t="shared" ref="K74:L74" si="46">IF(E55="","",K55)</f>
        <v>26</v>
      </c>
      <c r="L74">
        <f t="shared" si="46"/>
        <v>33</v>
      </c>
      <c r="M74">
        <f t="shared" si="39"/>
        <v>7</v>
      </c>
      <c r="N74">
        <f t="shared" si="40"/>
        <v>268</v>
      </c>
      <c r="O74">
        <f t="shared" si="27"/>
        <v>37</v>
      </c>
      <c r="P74">
        <f t="shared" si="13"/>
        <v>305</v>
      </c>
      <c r="Q74">
        <f t="shared" si="28"/>
        <v>10</v>
      </c>
      <c r="R74">
        <f t="shared" si="14"/>
        <v>262</v>
      </c>
      <c r="U74" s="9">
        <f t="shared" si="15"/>
        <v>45200</v>
      </c>
      <c r="V74" s="100">
        <f t="shared" si="16"/>
        <v>86.5</v>
      </c>
      <c r="W74">
        <f t="shared" si="17"/>
        <v>74</v>
      </c>
      <c r="X74">
        <f t="shared" si="18"/>
        <v>12.5</v>
      </c>
      <c r="Y74">
        <f t="shared" si="19"/>
        <v>532</v>
      </c>
      <c r="Z74">
        <f t="shared" si="29"/>
        <v>80</v>
      </c>
      <c r="AA74">
        <f t="shared" si="30"/>
        <v>612</v>
      </c>
      <c r="AB74">
        <f t="shared" ref="AB74:AB78" si="47">IF(U55="","",Y55)</f>
        <v>226</v>
      </c>
      <c r="AC74">
        <f t="shared" si="31"/>
        <v>306</v>
      </c>
      <c r="AD74">
        <f t="shared" si="32"/>
        <v>22</v>
      </c>
      <c r="AE74">
        <f t="shared" si="33"/>
        <v>28</v>
      </c>
      <c r="AF74">
        <f t="shared" si="34"/>
        <v>6</v>
      </c>
      <c r="AG74">
        <f t="shared" si="41"/>
        <v>220</v>
      </c>
      <c r="AH74">
        <f t="shared" si="35"/>
        <v>69</v>
      </c>
      <c r="AI74">
        <f t="shared" si="36"/>
        <v>289</v>
      </c>
      <c r="AJ74">
        <f t="shared" si="37"/>
        <v>35</v>
      </c>
      <c r="AK74">
        <f t="shared" si="21"/>
        <v>226</v>
      </c>
    </row>
    <row r="75" spans="1:37" x14ac:dyDescent="0.3">
      <c r="A75" t="s">
        <v>23</v>
      </c>
      <c r="B75" s="9">
        <f t="shared" si="8"/>
        <v>45597</v>
      </c>
      <c r="C75" s="100">
        <f t="shared" si="9"/>
        <v>84</v>
      </c>
      <c r="D75">
        <f t="shared" si="10"/>
        <v>63</v>
      </c>
      <c r="E75">
        <f t="shared" si="11"/>
        <v>21</v>
      </c>
      <c r="F75">
        <f t="shared" si="12"/>
        <v>472</v>
      </c>
      <c r="G75">
        <f t="shared" si="22"/>
        <v>122</v>
      </c>
      <c r="H75">
        <f t="shared" si="23"/>
        <v>594</v>
      </c>
      <c r="I75">
        <f t="shared" si="24"/>
        <v>258</v>
      </c>
      <c r="J75">
        <f t="shared" si="25"/>
        <v>214</v>
      </c>
      <c r="K75">
        <f t="shared" ref="K75:L75" si="48">IF(E56="","",K56)</f>
        <v>24</v>
      </c>
      <c r="L75">
        <f t="shared" si="48"/>
        <v>32</v>
      </c>
      <c r="M75">
        <f t="shared" si="39"/>
        <v>8</v>
      </c>
      <c r="N75">
        <f t="shared" si="40"/>
        <v>262</v>
      </c>
      <c r="O75">
        <f t="shared" si="27"/>
        <v>28</v>
      </c>
      <c r="P75">
        <f t="shared" si="13"/>
        <v>290</v>
      </c>
      <c r="Q75">
        <f t="shared" si="28"/>
        <v>0</v>
      </c>
      <c r="R75">
        <f t="shared" si="14"/>
        <v>258</v>
      </c>
      <c r="T75" t="s">
        <v>23</v>
      </c>
      <c r="U75" s="9">
        <f t="shared" si="15"/>
        <v>45231</v>
      </c>
      <c r="V75" s="100">
        <f t="shared" si="16"/>
        <v>86.5</v>
      </c>
      <c r="W75">
        <f t="shared" si="17"/>
        <v>72</v>
      </c>
      <c r="X75">
        <f t="shared" si="18"/>
        <v>14.5</v>
      </c>
      <c r="Y75">
        <f t="shared" si="19"/>
        <v>512</v>
      </c>
      <c r="Z75">
        <f t="shared" si="29"/>
        <v>100</v>
      </c>
      <c r="AA75">
        <f t="shared" si="30"/>
        <v>612</v>
      </c>
      <c r="AB75">
        <f t="shared" si="47"/>
        <v>256</v>
      </c>
      <c r="AC75">
        <f t="shared" si="31"/>
        <v>256</v>
      </c>
      <c r="AD75">
        <f t="shared" si="32"/>
        <v>25</v>
      </c>
      <c r="AE75">
        <f t="shared" si="33"/>
        <v>37</v>
      </c>
      <c r="AF75">
        <f t="shared" si="34"/>
        <v>12</v>
      </c>
      <c r="AG75">
        <f t="shared" si="41"/>
        <v>226</v>
      </c>
      <c r="AH75">
        <f t="shared" si="35"/>
        <v>31</v>
      </c>
      <c r="AI75">
        <f t="shared" si="36"/>
        <v>257</v>
      </c>
      <c r="AJ75">
        <f t="shared" si="37"/>
        <v>-36</v>
      </c>
      <c r="AK75">
        <f t="shared" si="21"/>
        <v>256</v>
      </c>
    </row>
    <row r="76" spans="1:37" x14ac:dyDescent="0.3">
      <c r="B76" s="9">
        <f t="shared" si="8"/>
        <v>45627</v>
      </c>
      <c r="C76" s="100">
        <f t="shared" si="9"/>
        <v>84</v>
      </c>
      <c r="D76">
        <f t="shared" si="10"/>
        <v>61.5</v>
      </c>
      <c r="E76">
        <f t="shared" si="11"/>
        <v>22.5</v>
      </c>
      <c r="F76">
        <f t="shared" si="12"/>
        <v>462</v>
      </c>
      <c r="G76">
        <f t="shared" si="22"/>
        <v>132</v>
      </c>
      <c r="H76">
        <f t="shared" si="23"/>
        <v>594</v>
      </c>
      <c r="I76">
        <f t="shared" si="24"/>
        <v>278</v>
      </c>
      <c r="J76">
        <f t="shared" si="25"/>
        <v>184</v>
      </c>
      <c r="K76">
        <f t="shared" ref="K76:L76" si="49">IF(E57="","",K57)</f>
        <v>23</v>
      </c>
      <c r="L76">
        <f t="shared" si="49"/>
        <v>29</v>
      </c>
      <c r="M76">
        <f t="shared" si="39"/>
        <v>6</v>
      </c>
      <c r="N76">
        <f t="shared" si="40"/>
        <v>258</v>
      </c>
      <c r="O76">
        <f t="shared" si="27"/>
        <v>48</v>
      </c>
      <c r="P76">
        <f t="shared" si="13"/>
        <v>306</v>
      </c>
      <c r="Q76">
        <f t="shared" si="28"/>
        <v>-1</v>
      </c>
      <c r="R76">
        <f t="shared" si="14"/>
        <v>278</v>
      </c>
      <c r="U76" s="9">
        <f t="shared" si="15"/>
        <v>45261</v>
      </c>
      <c r="V76" s="100">
        <f t="shared" si="16"/>
        <v>86.5</v>
      </c>
      <c r="W76">
        <f t="shared" si="17"/>
        <v>68.5</v>
      </c>
      <c r="X76">
        <f t="shared" si="18"/>
        <v>18</v>
      </c>
      <c r="Y76">
        <f t="shared" si="19"/>
        <v>484</v>
      </c>
      <c r="Z76">
        <f t="shared" si="29"/>
        <v>128</v>
      </c>
      <c r="AA76">
        <f t="shared" si="30"/>
        <v>612</v>
      </c>
      <c r="AB76">
        <f t="shared" si="47"/>
        <v>249</v>
      </c>
      <c r="AC76">
        <f t="shared" si="31"/>
        <v>235</v>
      </c>
      <c r="AD76">
        <f t="shared" si="32"/>
        <v>23</v>
      </c>
      <c r="AE76">
        <f t="shared" si="33"/>
        <v>36</v>
      </c>
      <c r="AF76">
        <f t="shared" si="34"/>
        <v>13</v>
      </c>
      <c r="AG76">
        <f t="shared" si="41"/>
        <v>256</v>
      </c>
      <c r="AH76">
        <f t="shared" si="35"/>
        <v>24</v>
      </c>
      <c r="AI76">
        <f t="shared" si="36"/>
        <v>280</v>
      </c>
      <c r="AJ76">
        <f t="shared" si="37"/>
        <v>-5</v>
      </c>
      <c r="AK76">
        <f t="shared" si="21"/>
        <v>249</v>
      </c>
    </row>
    <row r="77" spans="1:37" x14ac:dyDescent="0.3">
      <c r="B77" s="9">
        <f t="shared" si="8"/>
        <v>45658</v>
      </c>
      <c r="C77" s="100">
        <f t="shared" si="9"/>
        <v>84</v>
      </c>
      <c r="D77">
        <f t="shared" si="10"/>
        <v>61.5</v>
      </c>
      <c r="E77">
        <f t="shared" si="11"/>
        <v>22.5</v>
      </c>
      <c r="F77">
        <f t="shared" si="12"/>
        <v>462</v>
      </c>
      <c r="G77">
        <f t="shared" si="22"/>
        <v>132</v>
      </c>
      <c r="H77">
        <f t="shared" si="23"/>
        <v>594</v>
      </c>
      <c r="I77">
        <f t="shared" si="24"/>
        <v>291</v>
      </c>
      <c r="J77">
        <f t="shared" si="25"/>
        <v>171</v>
      </c>
      <c r="K77">
        <f>IF(E58="",0,K58)</f>
        <v>15</v>
      </c>
      <c r="L77">
        <f t="shared" ref="L77" si="50">IF(F58="","",L58)</f>
        <v>23</v>
      </c>
      <c r="M77">
        <f t="shared" si="39"/>
        <v>8</v>
      </c>
      <c r="N77">
        <f t="shared" si="40"/>
        <v>278</v>
      </c>
      <c r="O77">
        <f t="shared" si="27"/>
        <v>34</v>
      </c>
      <c r="P77">
        <f t="shared" si="13"/>
        <v>312</v>
      </c>
      <c r="Q77">
        <f t="shared" si="28"/>
        <v>-2</v>
      </c>
      <c r="R77">
        <f t="shared" si="14"/>
        <v>291</v>
      </c>
      <c r="U77" s="9">
        <f t="shared" si="15"/>
        <v>45292</v>
      </c>
      <c r="V77" s="100">
        <f t="shared" si="16"/>
        <v>87.5</v>
      </c>
      <c r="W77">
        <f t="shared" si="17"/>
        <v>69.5</v>
      </c>
      <c r="X77">
        <f t="shared" si="18"/>
        <v>18</v>
      </c>
      <c r="Y77">
        <f t="shared" si="19"/>
        <v>488</v>
      </c>
      <c r="Z77">
        <f t="shared" si="29"/>
        <v>130</v>
      </c>
      <c r="AA77">
        <f t="shared" si="30"/>
        <v>618</v>
      </c>
      <c r="AB77">
        <f t="shared" si="47"/>
        <v>255</v>
      </c>
      <c r="AC77">
        <f t="shared" si="31"/>
        <v>233</v>
      </c>
      <c r="AD77">
        <f t="shared" si="32"/>
        <v>22</v>
      </c>
      <c r="AE77">
        <f t="shared" si="33"/>
        <v>28</v>
      </c>
      <c r="AF77">
        <f t="shared" si="34"/>
        <v>6</v>
      </c>
      <c r="AG77">
        <f t="shared" si="41"/>
        <v>249</v>
      </c>
      <c r="AH77">
        <f t="shared" si="35"/>
        <v>32</v>
      </c>
      <c r="AI77">
        <f t="shared" si="36"/>
        <v>281</v>
      </c>
      <c r="AJ77">
        <f t="shared" si="37"/>
        <v>-2</v>
      </c>
      <c r="AK77">
        <f t="shared" si="21"/>
        <v>255</v>
      </c>
    </row>
    <row r="78" spans="1:37" x14ac:dyDescent="0.3">
      <c r="B78" s="9">
        <f t="shared" si="8"/>
        <v>45689</v>
      </c>
      <c r="C78" s="100">
        <f t="shared" si="9"/>
        <v>84</v>
      </c>
      <c r="D78">
        <f t="shared" si="10"/>
        <v>62.5</v>
      </c>
      <c r="E78">
        <f t="shared" si="11"/>
        <v>21.5</v>
      </c>
      <c r="F78">
        <f t="shared" si="12"/>
        <v>466</v>
      </c>
      <c r="G78">
        <f t="shared" si="22"/>
        <v>128</v>
      </c>
      <c r="H78">
        <f t="shared" si="23"/>
        <v>594</v>
      </c>
      <c r="I78">
        <f t="shared" si="24"/>
        <v>313</v>
      </c>
      <c r="J78">
        <f t="shared" si="25"/>
        <v>153</v>
      </c>
      <c r="K78">
        <f t="shared" ref="K78:L78" si="51">IF(E59="","",K59)</f>
        <v>13</v>
      </c>
      <c r="L78">
        <f t="shared" si="51"/>
        <v>24</v>
      </c>
      <c r="M78">
        <f t="shared" si="39"/>
        <v>11</v>
      </c>
      <c r="N78">
        <f t="shared" si="40"/>
        <v>291</v>
      </c>
      <c r="O78">
        <f t="shared" si="27"/>
        <v>46</v>
      </c>
      <c r="P78">
        <f t="shared" si="13"/>
        <v>337</v>
      </c>
      <c r="Q78">
        <f>IF(B78="","",P78-L78-I78)</f>
        <v>0</v>
      </c>
      <c r="R78">
        <f t="shared" si="14"/>
        <v>313</v>
      </c>
      <c r="U78" s="9">
        <f t="shared" si="15"/>
        <v>45323</v>
      </c>
      <c r="V78" s="100">
        <f t="shared" si="16"/>
        <v>87.5</v>
      </c>
      <c r="W78">
        <f t="shared" si="17"/>
        <v>71</v>
      </c>
      <c r="X78">
        <f t="shared" si="18"/>
        <v>16.5</v>
      </c>
      <c r="Y78">
        <f t="shared" si="19"/>
        <v>493</v>
      </c>
      <c r="Z78">
        <f t="shared" si="29"/>
        <v>125</v>
      </c>
      <c r="AA78">
        <f t="shared" si="30"/>
        <v>618</v>
      </c>
      <c r="AB78">
        <f t="shared" si="47"/>
        <v>289</v>
      </c>
      <c r="AC78">
        <f t="shared" si="31"/>
        <v>204</v>
      </c>
      <c r="AD78">
        <f t="shared" si="32"/>
        <v>16</v>
      </c>
      <c r="AE78">
        <f t="shared" si="33"/>
        <v>27</v>
      </c>
      <c r="AF78">
        <f t="shared" si="34"/>
        <v>11</v>
      </c>
      <c r="AG78">
        <f t="shared" si="41"/>
        <v>255</v>
      </c>
      <c r="AH78">
        <f t="shared" si="35"/>
        <v>54</v>
      </c>
      <c r="AI78">
        <f t="shared" si="36"/>
        <v>309</v>
      </c>
      <c r="AJ78">
        <f>IF(U78="","",AI78-AE78-AB78)</f>
        <v>-7</v>
      </c>
      <c r="AK78">
        <f t="shared" si="21"/>
        <v>289</v>
      </c>
    </row>
    <row r="79" spans="1:37" x14ac:dyDescent="0.3">
      <c r="A79" t="s">
        <v>44192</v>
      </c>
      <c r="B79" t="s">
        <v>24</v>
      </c>
      <c r="C79" s="100">
        <f t="shared" ref="C79:R79" si="52">AVERAGE(C67:C78)</f>
        <v>85.625</v>
      </c>
      <c r="D79" s="100">
        <f t="shared" si="52"/>
        <v>63.208333333333336</v>
      </c>
      <c r="E79" s="100">
        <f t="shared" si="52"/>
        <v>22.416666666666668</v>
      </c>
      <c r="F79" s="100">
        <f t="shared" si="52"/>
        <v>467.83333333333331</v>
      </c>
      <c r="G79" s="100">
        <f t="shared" si="52"/>
        <v>139.5</v>
      </c>
      <c r="H79" s="100">
        <f t="shared" si="52"/>
        <v>607.33333333333337</v>
      </c>
      <c r="I79" s="100">
        <f t="shared" si="52"/>
        <v>284.16666666666669</v>
      </c>
      <c r="J79" s="100">
        <f t="shared" si="52"/>
        <v>183.66666666666666</v>
      </c>
      <c r="K79" s="100">
        <f t="shared" si="52"/>
        <v>21.833333333333332</v>
      </c>
      <c r="L79" s="100">
        <f t="shared" si="52"/>
        <v>31.583333333333332</v>
      </c>
      <c r="M79" s="100">
        <f t="shared" si="52"/>
        <v>9.75</v>
      </c>
      <c r="N79" s="100">
        <f t="shared" si="52"/>
        <v>282.16666666666669</v>
      </c>
      <c r="O79" s="100">
        <f t="shared" si="52"/>
        <v>35.833333333333336</v>
      </c>
      <c r="P79" s="100">
        <f t="shared" si="52"/>
        <v>318</v>
      </c>
      <c r="Q79" s="100">
        <f>AVERAGE(Q67:Q78)</f>
        <v>2.25</v>
      </c>
      <c r="R79" s="100">
        <f t="shared" si="52"/>
        <v>284.16666666666669</v>
      </c>
      <c r="T79" t="s">
        <v>44192</v>
      </c>
      <c r="U79" t="s">
        <v>24</v>
      </c>
      <c r="V79" s="100">
        <f t="shared" ref="V79" si="53">AVERAGE(V67:V78)</f>
        <v>80.625</v>
      </c>
      <c r="W79" s="100">
        <f t="shared" ref="W79" si="54">AVERAGE(W67:W78)</f>
        <v>68.625</v>
      </c>
      <c r="X79" s="100">
        <f t="shared" ref="X79" si="55">AVERAGE(X67:X78)</f>
        <v>12</v>
      </c>
      <c r="Y79" s="100">
        <f t="shared" ref="Y79" si="56">AVERAGE(Y67:Y78)</f>
        <v>522.58333333333337</v>
      </c>
      <c r="Z79" s="100">
        <f t="shared" ref="Z79" si="57">AVERAGE(Z67:Z78)</f>
        <v>80.5</v>
      </c>
      <c r="AA79" s="100">
        <f t="shared" ref="AA79" si="58">AVERAGE(AA67:AA78)</f>
        <v>603.08333333333337</v>
      </c>
      <c r="AB79" s="100">
        <f t="shared" ref="AB79" si="59">AVERAGE(AB67:AB78)</f>
        <v>252.75</v>
      </c>
      <c r="AC79" s="100">
        <f t="shared" ref="AC79" si="60">AVERAGE(AC67:AC78)</f>
        <v>269.83333333333331</v>
      </c>
      <c r="AD79" s="100">
        <f t="shared" ref="AD79" si="61">AVERAGE(AD67:AD78)</f>
        <v>19.25</v>
      </c>
      <c r="AE79" s="100">
        <f t="shared" ref="AE79" si="62">AVERAGE(AE67:AE78)</f>
        <v>28.916666666666668</v>
      </c>
      <c r="AF79" s="100">
        <f t="shared" ref="AF79" si="63">AVERAGE(AF67:AF78)</f>
        <v>9.6666666666666661</v>
      </c>
      <c r="AG79" s="100">
        <f t="shared" ref="AG79" si="64">AVERAGE(AG67:AG78)</f>
        <v>251.91666666666666</v>
      </c>
      <c r="AH79" s="100">
        <f t="shared" ref="AH79" si="65">AVERAGE(AH67:AH78)</f>
        <v>29.583333333333332</v>
      </c>
      <c r="AI79">
        <f t="shared" si="36"/>
        <v>281.5</v>
      </c>
      <c r="AJ79" s="100">
        <f>AVERAGE(AJ67:AJ78)</f>
        <v>-0.16666666666666666</v>
      </c>
      <c r="AK79" s="100">
        <f t="shared" ref="AK79" si="66">AVERAGE(AK67:AK78)</f>
        <v>252.75</v>
      </c>
    </row>
    <row r="80" spans="1:37" x14ac:dyDescent="0.3">
      <c r="A80" s="101">
        <f>IF(A81="staffing",1,IF(A81="capacity",2,IF(A81="utilization",3,IF(A81="outcomes",4,5))))</f>
        <v>4</v>
      </c>
      <c r="T80" s="101">
        <f>IF(T81="staffing",1,IF(T81="capacity",2,IF(T81="utilization",3,IF(T81="outcomes",4,5))))</f>
        <v>4</v>
      </c>
    </row>
    <row r="81" spans="1:28" x14ac:dyDescent="0.3">
      <c r="A81" t="str">
        <f>display!P8</f>
        <v>Outcomes</v>
      </c>
      <c r="B81" s="259" t="s">
        <v>44193</v>
      </c>
      <c r="C81" s="259"/>
      <c r="D81" s="259"/>
      <c r="E81" s="259"/>
      <c r="F81" s="259"/>
      <c r="T81" t="str">
        <f>display!P8</f>
        <v>Outcomes</v>
      </c>
      <c r="U81" s="259" t="s">
        <v>44193</v>
      </c>
      <c r="V81" s="259"/>
      <c r="W81" s="259"/>
      <c r="X81" s="259"/>
      <c r="Y81" s="259"/>
    </row>
    <row r="82" spans="1:28" s="22" customFormat="1" ht="28.8" x14ac:dyDescent="0.3">
      <c r="A82" s="22">
        <f>IF(A81=A67,E60,IF(A81=A69,J60,IF(A81=A71,H60,IF(A81=A73,M60,""))))</f>
        <v>0.69129287598944589</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x14ac:dyDescent="0.3">
      <c r="B83" s="22" t="s">
        <v>25</v>
      </c>
      <c r="D83" s="22" t="str">
        <f t="shared" ref="D83:D95" si="67">IF($A$80=1,D66,IF($A$80=2,F66,IF($A$80=3,I66,IF($A$80=4,K66,IF($A$80=5,N66,"Error")))))</f>
        <v>Successful Discharges</v>
      </c>
      <c r="E83" s="22" t="str">
        <f>IF($A$80=1,E66,IF($A$80=2,G66,IF($A$80=3,"Unused Current Capacity",IF($A$80=4,M66,IF($A$80=5,O66,"Error")))))</f>
        <v>Unsuccessful Discharges</v>
      </c>
      <c r="F83" s="22" t="str">
        <f t="shared" ref="F83:F95" si="68">IF($A$80=1,C66,IF($A$80=2,H66,IF($A$80=3,F66,IF($A$80=4,L66,IF($A$80=5,P66,"Error")))))</f>
        <v>Total Discharges</v>
      </c>
      <c r="G83" s="22" t="str">
        <f t="shared" ref="G83:G96" si="69">IF($A$80=1,"",IF($A$80=2,"",IF($A$80=3,"",IF($A$80=4,"",IF($A$80=5,L66,"Error")))))</f>
        <v/>
      </c>
      <c r="H83" s="22" t="str">
        <f>IF($A$80=1,"",IF($A$80=2,"",IF($A$80=3,"",IF($A$80=4,"",IF($A$80=5,Q66,"Error")))))</f>
        <v/>
      </c>
      <c r="I83" s="22" t="str">
        <f>IF($A$80=1,"",IF($A$80=2,"",IF($A$80=3,"",IF($A$80=4,"",IF($A$80=5,R66,"Error")))))</f>
        <v/>
      </c>
      <c r="U83" s="22" t="s">
        <v>25</v>
      </c>
      <c r="W83" s="22" t="str">
        <f t="shared" ref="W83:AB83" si="70">D83</f>
        <v>Successful Discharges</v>
      </c>
      <c r="X83" s="22" t="str">
        <f t="shared" si="70"/>
        <v>Unsuccessful Discharges</v>
      </c>
      <c r="Y83" s="22" t="str">
        <f t="shared" si="70"/>
        <v>Total Discharges</v>
      </c>
      <c r="Z83" s="22" t="str">
        <f t="shared" si="70"/>
        <v/>
      </c>
      <c r="AA83" s="22" t="str">
        <f t="shared" si="70"/>
        <v/>
      </c>
      <c r="AB83" s="22" t="str">
        <f t="shared" si="70"/>
        <v/>
      </c>
    </row>
    <row r="84" spans="1:28" x14ac:dyDescent="0.3">
      <c r="B84" s="9">
        <f>B67</f>
        <v>45352</v>
      </c>
      <c r="C84" s="102">
        <f>IFERROR(IF(A$81="Youth Seen","",D84/(D84+E84)),"")</f>
        <v>0.63414634146341464</v>
      </c>
      <c r="D84">
        <f t="shared" si="67"/>
        <v>26</v>
      </c>
      <c r="E84">
        <f>IF($A$80=1,E67,IF($A$80=2,G67,IF($A$80=3,F67-I67,IF($A$80=4,M67,IF($A$80=5,O67,"Error")))))</f>
        <v>15</v>
      </c>
      <c r="F84">
        <f t="shared" si="68"/>
        <v>41</v>
      </c>
      <c r="G84" t="str">
        <f t="shared" si="69"/>
        <v/>
      </c>
      <c r="H84" t="str">
        <f>IF($A$80=1,"",IF($A$80=2,"",IF($A$80=3,"",IF($A$80=4,"",IF($A$80=5,Q67,"Error")))))</f>
        <v/>
      </c>
      <c r="I84" t="str">
        <f>IF($A$80=1,"",IF($A$80=2,"",IF($A$80=3,"",IF($A$80=4,"",IF($A$80=5,R67,"Error")))))</f>
        <v/>
      </c>
      <c r="Q84">
        <f>VLOOKUP(display!$AD$5,lists!G:H,2,FALSE)</f>
        <v>45323</v>
      </c>
      <c r="R84">
        <f t="shared" ref="R84:R95" si="71">U84</f>
        <v>44986</v>
      </c>
      <c r="S84" t="str">
        <f>IF(R84&gt;Q84,"omit","incl")</f>
        <v>incl</v>
      </c>
      <c r="T84" s="9">
        <f t="shared" ref="T84:T95" si="72">IF(S84="omit"," ",U84)</f>
        <v>44986</v>
      </c>
      <c r="U84" s="9">
        <f>U67</f>
        <v>44986</v>
      </c>
      <c r="V84" s="102">
        <f>IFERROR(IF(A$81="Youth Seen","",W84/(W84+X84)),"")</f>
        <v>0.68571428571428572</v>
      </c>
      <c r="W84">
        <f t="shared" ref="W84:W95" si="73">IF($S84="omit","",IF($A$80=1,W67,IF($A$80=2,Y67,IF($A$80=3,AB67,IF($A$80=4,AD67,IF($A$80=5,AG67,"Error"))))))</f>
        <v>24</v>
      </c>
      <c r="X84">
        <f t="shared" ref="X84:X95" si="74">IF($S84="omit","",IF($A$80=1,X67,IF($A$80=2,Z67,IF($A$80=3,AC67,IF($A$80=4,AF67,IF($A$80=5,AH67,"Error"))))))</f>
        <v>11</v>
      </c>
      <c r="Y84">
        <f t="shared" ref="Y84:Y95" si="75">IF($S84="omit","",IF($A$80=1,V67,IF($A$80=2,AA67,IF($A$80=3,Y67,IF($A$80=4,AE67,IF($A$80=5,AI67,"Error"))))))</f>
        <v>35</v>
      </c>
      <c r="Z84" t="str">
        <f t="shared" ref="Z84:Z95" si="76">IF($S84="omit","",IF($A$80=1,"",IF($A$80=2,"",IF($A$80=3,"",IF($A$80=4,"",IF($A$80=5,AE67,"Error"))))))</f>
        <v/>
      </c>
      <c r="AA84" t="str">
        <f t="shared" ref="AA84:AA95" si="77">IF($S84="omit","",IF($A$80=1,"",IF($A$80=2,"",IF($A$80=3,"",IF($A$80=4,"",IF($A$80=5,AJ67,"Error"))))))</f>
        <v/>
      </c>
      <c r="AB84" t="str">
        <f t="shared" ref="AB84:AB95" si="78">IF($S84="omit","",IF($A$80=1,"",IF($A$80=2,"",IF($A$80=3,"",IF($A$80=4,"",IF($A$80=5,AK67,"Error"))))))</f>
        <v/>
      </c>
    </row>
    <row r="85" spans="1:28" x14ac:dyDescent="0.3">
      <c r="B85" s="9">
        <f t="shared" ref="B85:B95" si="79">B68</f>
        <v>45383</v>
      </c>
      <c r="C85" s="102">
        <f t="shared" ref="C85:C96" si="80">IFERROR(IF(A$81="Youth Seen","",D85/(D85+E85)),"")</f>
        <v>0.63636363636363635</v>
      </c>
      <c r="D85">
        <f t="shared" si="67"/>
        <v>21</v>
      </c>
      <c r="E85">
        <f t="shared" ref="E85:E95" si="81">IF($A$80=1,E68,IF($A$80=2,G68,IF($A$80=3,F68-I68,IF($A$80=4,M68,IF($A$80=5,O68,"Error")))))</f>
        <v>12</v>
      </c>
      <c r="F85">
        <f t="shared" si="68"/>
        <v>33</v>
      </c>
      <c r="G85" t="str">
        <f t="shared" si="69"/>
        <v/>
      </c>
      <c r="H85" t="str">
        <f t="shared" ref="H85:H96" si="82">IF($A$80=1,"",IF($A$80=2,"",IF($A$80=3,"",IF($A$80=4,"",IF($A$80=5,Q68,"Error")))))</f>
        <v/>
      </c>
      <c r="I85" t="str">
        <f t="shared" ref="I85:I96" si="83">IF($A$80=1,"",IF($A$80=2,"",IF($A$80=3,"",IF($A$80=4,"",IF($A$80=5,R68,"Error")))))</f>
        <v/>
      </c>
      <c r="Q85">
        <f>VLOOKUP(display!$AD$5,lists!G:H,2,FALSE)</f>
        <v>45323</v>
      </c>
      <c r="R85">
        <f t="shared" si="71"/>
        <v>45017</v>
      </c>
      <c r="S85" t="str">
        <f t="shared" ref="S85:S94" si="84">IF(R85&gt;Q85,"omit","incl")</f>
        <v>incl</v>
      </c>
      <c r="T85" s="9">
        <f t="shared" si="72"/>
        <v>45017</v>
      </c>
      <c r="U85" s="9">
        <f t="shared" ref="U85:U95" si="85">U68</f>
        <v>45017</v>
      </c>
      <c r="V85" s="102">
        <f t="shared" ref="V85:V96" si="86">IFERROR(IF(A$81="Youth Seen","",W85/(W85+X85)),"")</f>
        <v>0.43333333333333335</v>
      </c>
      <c r="W85">
        <f t="shared" si="73"/>
        <v>13</v>
      </c>
      <c r="X85">
        <f t="shared" si="74"/>
        <v>17</v>
      </c>
      <c r="Y85">
        <f t="shared" si="75"/>
        <v>30</v>
      </c>
      <c r="Z85" t="str">
        <f t="shared" si="76"/>
        <v/>
      </c>
      <c r="AA85" t="str">
        <f t="shared" si="77"/>
        <v/>
      </c>
      <c r="AB85" t="str">
        <f t="shared" si="78"/>
        <v/>
      </c>
    </row>
    <row r="86" spans="1:28" x14ac:dyDescent="0.3">
      <c r="B86" s="9">
        <f t="shared" si="79"/>
        <v>45413</v>
      </c>
      <c r="C86" s="102">
        <f t="shared" si="80"/>
        <v>0.76</v>
      </c>
      <c r="D86">
        <f t="shared" si="67"/>
        <v>19</v>
      </c>
      <c r="E86">
        <f t="shared" si="81"/>
        <v>6</v>
      </c>
      <c r="F86">
        <f t="shared" si="68"/>
        <v>25</v>
      </c>
      <c r="G86" t="str">
        <f t="shared" si="69"/>
        <v/>
      </c>
      <c r="H86" t="str">
        <f t="shared" si="82"/>
        <v/>
      </c>
      <c r="I86" t="str">
        <f t="shared" si="83"/>
        <v/>
      </c>
      <c r="N86" t="s">
        <v>44200</v>
      </c>
      <c r="Q86">
        <f>VLOOKUP(display!$AD$5,lists!G:H,2,FALSE)</f>
        <v>45323</v>
      </c>
      <c r="R86">
        <f t="shared" si="71"/>
        <v>45047</v>
      </c>
      <c r="S86" t="str">
        <f t="shared" si="84"/>
        <v>incl</v>
      </c>
      <c r="T86" s="9">
        <f t="shared" si="72"/>
        <v>45047</v>
      </c>
      <c r="U86" s="9">
        <f t="shared" si="85"/>
        <v>45047</v>
      </c>
      <c r="V86" s="102">
        <f t="shared" si="86"/>
        <v>0.5714285714285714</v>
      </c>
      <c r="W86">
        <f t="shared" si="73"/>
        <v>12</v>
      </c>
      <c r="X86">
        <f t="shared" si="74"/>
        <v>9</v>
      </c>
      <c r="Y86">
        <f t="shared" si="75"/>
        <v>21</v>
      </c>
      <c r="Z86" t="str">
        <f t="shared" si="76"/>
        <v/>
      </c>
      <c r="AA86" t="str">
        <f t="shared" si="77"/>
        <v/>
      </c>
      <c r="AB86" t="str">
        <f t="shared" si="78"/>
        <v/>
      </c>
    </row>
    <row r="87" spans="1:28" x14ac:dyDescent="0.3">
      <c r="B87" s="9">
        <f t="shared" si="79"/>
        <v>45444</v>
      </c>
      <c r="C87" s="102">
        <f t="shared" si="80"/>
        <v>0.66666666666666663</v>
      </c>
      <c r="D87">
        <f t="shared" si="67"/>
        <v>22</v>
      </c>
      <c r="E87">
        <f t="shared" si="81"/>
        <v>11</v>
      </c>
      <c r="F87">
        <f t="shared" si="68"/>
        <v>33</v>
      </c>
      <c r="G87" t="str">
        <f t="shared" si="69"/>
        <v/>
      </c>
      <c r="H87" t="str">
        <f t="shared" si="82"/>
        <v/>
      </c>
      <c r="I87" t="str">
        <f t="shared" si="83"/>
        <v/>
      </c>
      <c r="N87" t="s">
        <v>44201</v>
      </c>
      <c r="Q87">
        <f>VLOOKUP(display!$AD$5,lists!G:H,2,FALSE)</f>
        <v>45323</v>
      </c>
      <c r="R87">
        <f t="shared" si="71"/>
        <v>45078</v>
      </c>
      <c r="S87" t="str">
        <f t="shared" si="84"/>
        <v>incl</v>
      </c>
      <c r="T87" s="9">
        <f t="shared" si="72"/>
        <v>45078</v>
      </c>
      <c r="U87" s="9">
        <f t="shared" si="85"/>
        <v>45078</v>
      </c>
      <c r="V87" s="102">
        <f t="shared" si="86"/>
        <v>0.68</v>
      </c>
      <c r="W87">
        <f t="shared" si="73"/>
        <v>17</v>
      </c>
      <c r="X87">
        <f t="shared" si="74"/>
        <v>8</v>
      </c>
      <c r="Y87">
        <f t="shared" si="75"/>
        <v>25</v>
      </c>
      <c r="Z87" t="str">
        <f t="shared" si="76"/>
        <v/>
      </c>
      <c r="AA87" t="str">
        <f t="shared" si="77"/>
        <v/>
      </c>
      <c r="AB87" t="str">
        <f t="shared" si="78"/>
        <v/>
      </c>
    </row>
    <row r="88" spans="1:28" x14ac:dyDescent="0.3">
      <c r="B88" s="9">
        <f t="shared" si="79"/>
        <v>45474</v>
      </c>
      <c r="C88" s="102">
        <f t="shared" si="80"/>
        <v>0.77142857142857146</v>
      </c>
      <c r="D88">
        <f t="shared" si="67"/>
        <v>27</v>
      </c>
      <c r="E88">
        <f t="shared" si="81"/>
        <v>8</v>
      </c>
      <c r="F88">
        <f t="shared" si="68"/>
        <v>35</v>
      </c>
      <c r="G88" t="str">
        <f t="shared" si="69"/>
        <v/>
      </c>
      <c r="H88" t="str">
        <f t="shared" si="82"/>
        <v/>
      </c>
      <c r="I88" t="str">
        <f t="shared" si="83"/>
        <v/>
      </c>
      <c r="N88" t="s">
        <v>44202</v>
      </c>
      <c r="Q88">
        <f>VLOOKUP(display!$AD$5,lists!G:H,2,FALSE)</f>
        <v>45323</v>
      </c>
      <c r="R88">
        <f t="shared" si="71"/>
        <v>45108</v>
      </c>
      <c r="S88" t="str">
        <f t="shared" si="84"/>
        <v>incl</v>
      </c>
      <c r="T88" s="9">
        <f t="shared" si="72"/>
        <v>45108</v>
      </c>
      <c r="U88" s="9">
        <f t="shared" si="85"/>
        <v>45108</v>
      </c>
      <c r="V88" s="102">
        <f t="shared" si="86"/>
        <v>0.5357142857142857</v>
      </c>
      <c r="W88">
        <f t="shared" si="73"/>
        <v>15</v>
      </c>
      <c r="X88">
        <f t="shared" si="74"/>
        <v>13</v>
      </c>
      <c r="Y88">
        <f t="shared" si="75"/>
        <v>28</v>
      </c>
      <c r="Z88" t="str">
        <f t="shared" si="76"/>
        <v/>
      </c>
      <c r="AA88" t="str">
        <f t="shared" si="77"/>
        <v/>
      </c>
      <c r="AB88" t="str">
        <f t="shared" si="78"/>
        <v/>
      </c>
    </row>
    <row r="89" spans="1:28" x14ac:dyDescent="0.3">
      <c r="B89" s="9">
        <f t="shared" si="79"/>
        <v>45505</v>
      </c>
      <c r="C89" s="102">
        <f t="shared" si="80"/>
        <v>0.62857142857142856</v>
      </c>
      <c r="D89">
        <f t="shared" si="67"/>
        <v>22</v>
      </c>
      <c r="E89">
        <f t="shared" si="81"/>
        <v>13</v>
      </c>
      <c r="F89">
        <f t="shared" si="68"/>
        <v>35</v>
      </c>
      <c r="G89" t="str">
        <f t="shared" si="69"/>
        <v/>
      </c>
      <c r="H89" t="str">
        <f t="shared" si="82"/>
        <v/>
      </c>
      <c r="I89" t="str">
        <f t="shared" si="83"/>
        <v/>
      </c>
      <c r="N89" t="s">
        <v>44203</v>
      </c>
      <c r="Q89">
        <f>VLOOKUP(display!$AD$5,lists!G:H,2,FALSE)</f>
        <v>45323</v>
      </c>
      <c r="R89">
        <f t="shared" si="71"/>
        <v>45139</v>
      </c>
      <c r="S89" t="str">
        <f t="shared" si="84"/>
        <v>incl</v>
      </c>
      <c r="T89" s="9">
        <f t="shared" si="72"/>
        <v>45139</v>
      </c>
      <c r="U89" s="9">
        <f t="shared" si="85"/>
        <v>45139</v>
      </c>
      <c r="V89" s="102">
        <f t="shared" si="86"/>
        <v>0.69230769230769229</v>
      </c>
      <c r="W89">
        <f t="shared" si="73"/>
        <v>9</v>
      </c>
      <c r="X89">
        <f t="shared" si="74"/>
        <v>4</v>
      </c>
      <c r="Y89">
        <f t="shared" si="75"/>
        <v>13</v>
      </c>
      <c r="Z89" t="str">
        <f t="shared" si="76"/>
        <v/>
      </c>
      <c r="AA89" t="str">
        <f t="shared" si="77"/>
        <v/>
      </c>
      <c r="AB89" t="str">
        <f t="shared" si="78"/>
        <v/>
      </c>
    </row>
    <row r="90" spans="1:28" x14ac:dyDescent="0.3">
      <c r="B90" s="9">
        <f t="shared" si="79"/>
        <v>45536</v>
      </c>
      <c r="C90" s="102">
        <f t="shared" si="80"/>
        <v>0.66666666666666663</v>
      </c>
      <c r="D90">
        <f t="shared" si="67"/>
        <v>24</v>
      </c>
      <c r="E90">
        <f t="shared" si="81"/>
        <v>12</v>
      </c>
      <c r="F90">
        <f t="shared" si="68"/>
        <v>36</v>
      </c>
      <c r="G90" t="str">
        <f t="shared" si="69"/>
        <v/>
      </c>
      <c r="H90" t="str">
        <f t="shared" si="82"/>
        <v/>
      </c>
      <c r="I90" t="str">
        <f t="shared" si="83"/>
        <v/>
      </c>
      <c r="N90" t="s">
        <v>44204</v>
      </c>
      <c r="Q90">
        <f>VLOOKUP(display!$AD$5,lists!G:H,2,FALSE)</f>
        <v>45323</v>
      </c>
      <c r="R90">
        <f t="shared" si="71"/>
        <v>45170</v>
      </c>
      <c r="S90" t="str">
        <f t="shared" si="84"/>
        <v>incl</v>
      </c>
      <c r="T90" s="9">
        <f t="shared" si="72"/>
        <v>45170</v>
      </c>
      <c r="U90" s="9">
        <f t="shared" si="85"/>
        <v>45170</v>
      </c>
      <c r="V90" s="102">
        <f t="shared" si="86"/>
        <v>0.84615384615384615</v>
      </c>
      <c r="W90">
        <f t="shared" si="73"/>
        <v>33</v>
      </c>
      <c r="X90">
        <f t="shared" si="74"/>
        <v>6</v>
      </c>
      <c r="Y90">
        <f t="shared" si="75"/>
        <v>39</v>
      </c>
      <c r="Z90" t="str">
        <f t="shared" si="76"/>
        <v/>
      </c>
      <c r="AA90" t="str">
        <f t="shared" si="77"/>
        <v/>
      </c>
      <c r="AB90" t="str">
        <f t="shared" si="78"/>
        <v/>
      </c>
    </row>
    <row r="91" spans="1:28" x14ac:dyDescent="0.3">
      <c r="B91" s="9">
        <f t="shared" si="79"/>
        <v>45566</v>
      </c>
      <c r="C91" s="102">
        <f t="shared" si="80"/>
        <v>0.78787878787878785</v>
      </c>
      <c r="D91">
        <f t="shared" si="67"/>
        <v>26</v>
      </c>
      <c r="E91">
        <f t="shared" si="81"/>
        <v>7</v>
      </c>
      <c r="F91">
        <f t="shared" si="68"/>
        <v>33</v>
      </c>
      <c r="G91" t="str">
        <f t="shared" si="69"/>
        <v/>
      </c>
      <c r="H91" t="str">
        <f t="shared" si="82"/>
        <v/>
      </c>
      <c r="I91" t="str">
        <f t="shared" si="83"/>
        <v/>
      </c>
      <c r="N91" t="s">
        <v>44205</v>
      </c>
      <c r="Q91">
        <f>VLOOKUP(display!$AD$5,lists!G:H,2,FALSE)</f>
        <v>45323</v>
      </c>
      <c r="R91">
        <f t="shared" si="71"/>
        <v>45200</v>
      </c>
      <c r="S91" t="str">
        <f t="shared" si="84"/>
        <v>incl</v>
      </c>
      <c r="T91" s="9">
        <f t="shared" si="72"/>
        <v>45200</v>
      </c>
      <c r="U91" s="9">
        <f t="shared" si="85"/>
        <v>45200</v>
      </c>
      <c r="V91" s="102">
        <f t="shared" si="86"/>
        <v>0.7857142857142857</v>
      </c>
      <c r="W91">
        <f t="shared" si="73"/>
        <v>22</v>
      </c>
      <c r="X91">
        <f t="shared" si="74"/>
        <v>6</v>
      </c>
      <c r="Y91">
        <f t="shared" si="75"/>
        <v>28</v>
      </c>
      <c r="Z91" t="str">
        <f t="shared" si="76"/>
        <v/>
      </c>
      <c r="AA91" t="str">
        <f t="shared" si="77"/>
        <v/>
      </c>
      <c r="AB91" t="str">
        <f t="shared" si="78"/>
        <v/>
      </c>
    </row>
    <row r="92" spans="1:28" x14ac:dyDescent="0.3">
      <c r="B92" s="9">
        <f t="shared" si="79"/>
        <v>45597</v>
      </c>
      <c r="C92" s="102">
        <f t="shared" si="80"/>
        <v>0.75</v>
      </c>
      <c r="D92">
        <f t="shared" si="67"/>
        <v>24</v>
      </c>
      <c r="E92">
        <f t="shared" si="81"/>
        <v>8</v>
      </c>
      <c r="F92">
        <f t="shared" si="68"/>
        <v>32</v>
      </c>
      <c r="G92" t="str">
        <f t="shared" si="69"/>
        <v/>
      </c>
      <c r="H92" t="str">
        <f t="shared" si="82"/>
        <v/>
      </c>
      <c r="I92" t="str">
        <f t="shared" si="83"/>
        <v/>
      </c>
      <c r="Q92">
        <f>VLOOKUP(display!$AD$5,lists!G:H,2,FALSE)</f>
        <v>45323</v>
      </c>
      <c r="R92">
        <f t="shared" si="71"/>
        <v>45231</v>
      </c>
      <c r="S92" t="str">
        <f t="shared" si="84"/>
        <v>incl</v>
      </c>
      <c r="T92" s="9">
        <f t="shared" si="72"/>
        <v>45231</v>
      </c>
      <c r="U92" s="9">
        <f t="shared" si="85"/>
        <v>45231</v>
      </c>
      <c r="V92" s="102">
        <f t="shared" si="86"/>
        <v>0.67567567567567566</v>
      </c>
      <c r="W92">
        <f t="shared" si="73"/>
        <v>25</v>
      </c>
      <c r="X92">
        <f t="shared" si="74"/>
        <v>12</v>
      </c>
      <c r="Y92">
        <f t="shared" si="75"/>
        <v>37</v>
      </c>
      <c r="Z92" t="str">
        <f t="shared" si="76"/>
        <v/>
      </c>
      <c r="AA92" t="str">
        <f t="shared" si="77"/>
        <v/>
      </c>
      <c r="AB92" t="str">
        <f t="shared" si="78"/>
        <v/>
      </c>
    </row>
    <row r="93" spans="1:28" x14ac:dyDescent="0.3">
      <c r="B93" s="9">
        <f t="shared" si="79"/>
        <v>45627</v>
      </c>
      <c r="C93" s="102">
        <f t="shared" si="80"/>
        <v>0.7931034482758621</v>
      </c>
      <c r="D93">
        <f t="shared" si="67"/>
        <v>23</v>
      </c>
      <c r="E93">
        <f t="shared" si="81"/>
        <v>6</v>
      </c>
      <c r="F93">
        <f t="shared" si="68"/>
        <v>29</v>
      </c>
      <c r="G93" t="str">
        <f t="shared" si="69"/>
        <v/>
      </c>
      <c r="H93" t="str">
        <f t="shared" si="82"/>
        <v/>
      </c>
      <c r="I93" t="str">
        <f t="shared" si="83"/>
        <v/>
      </c>
      <c r="Q93">
        <f>VLOOKUP(display!$AD$5,lists!G:H,2,FALSE)</f>
        <v>45323</v>
      </c>
      <c r="R93">
        <f t="shared" si="71"/>
        <v>45261</v>
      </c>
      <c r="S93" t="str">
        <f t="shared" si="84"/>
        <v>incl</v>
      </c>
      <c r="T93" s="9">
        <f t="shared" si="72"/>
        <v>45261</v>
      </c>
      <c r="U93" s="9">
        <f t="shared" si="85"/>
        <v>45261</v>
      </c>
      <c r="V93" s="102">
        <f t="shared" si="86"/>
        <v>0.63888888888888884</v>
      </c>
      <c r="W93">
        <f t="shared" si="73"/>
        <v>23</v>
      </c>
      <c r="X93">
        <f t="shared" si="74"/>
        <v>13</v>
      </c>
      <c r="Y93">
        <f t="shared" si="75"/>
        <v>36</v>
      </c>
      <c r="Z93" t="str">
        <f t="shared" si="76"/>
        <v/>
      </c>
      <c r="AA93" t="str">
        <f t="shared" si="77"/>
        <v/>
      </c>
      <c r="AB93" t="str">
        <f t="shared" si="78"/>
        <v/>
      </c>
    </row>
    <row r="94" spans="1:28" x14ac:dyDescent="0.3">
      <c r="B94" s="9">
        <f t="shared" si="79"/>
        <v>45658</v>
      </c>
      <c r="C94" s="102">
        <f t="shared" si="80"/>
        <v>0.65217391304347827</v>
      </c>
      <c r="D94">
        <f t="shared" si="67"/>
        <v>15</v>
      </c>
      <c r="E94">
        <f t="shared" si="81"/>
        <v>8</v>
      </c>
      <c r="F94">
        <f t="shared" si="68"/>
        <v>23</v>
      </c>
      <c r="G94" t="str">
        <f t="shared" si="69"/>
        <v/>
      </c>
      <c r="H94" t="str">
        <f t="shared" si="82"/>
        <v/>
      </c>
      <c r="I94" t="str">
        <f t="shared" si="83"/>
        <v/>
      </c>
      <c r="Q94">
        <f>VLOOKUP(display!$AD$5,lists!G:H,2,FALSE)</f>
        <v>45323</v>
      </c>
      <c r="R94">
        <f t="shared" si="71"/>
        <v>45292</v>
      </c>
      <c r="S94" t="str">
        <f t="shared" si="84"/>
        <v>incl</v>
      </c>
      <c r="T94" s="9">
        <f t="shared" si="72"/>
        <v>45292</v>
      </c>
      <c r="U94" s="9">
        <f t="shared" si="85"/>
        <v>45292</v>
      </c>
      <c r="V94" s="102">
        <f t="shared" si="86"/>
        <v>0.7857142857142857</v>
      </c>
      <c r="W94">
        <f t="shared" si="73"/>
        <v>22</v>
      </c>
      <c r="X94">
        <f t="shared" si="74"/>
        <v>6</v>
      </c>
      <c r="Y94">
        <f t="shared" si="75"/>
        <v>28</v>
      </c>
      <c r="Z94" t="str">
        <f t="shared" si="76"/>
        <v/>
      </c>
      <c r="AA94" t="str">
        <f t="shared" si="77"/>
        <v/>
      </c>
      <c r="AB94" t="str">
        <f t="shared" si="78"/>
        <v/>
      </c>
    </row>
    <row r="95" spans="1:28" x14ac:dyDescent="0.3">
      <c r="B95" s="9">
        <f t="shared" si="79"/>
        <v>45689</v>
      </c>
      <c r="C95" s="102">
        <f t="shared" si="80"/>
        <v>0.54166666666666663</v>
      </c>
      <c r="D95">
        <f t="shared" si="67"/>
        <v>13</v>
      </c>
      <c r="E95">
        <f t="shared" si="81"/>
        <v>11</v>
      </c>
      <c r="F95">
        <f t="shared" si="68"/>
        <v>24</v>
      </c>
      <c r="G95" t="str">
        <f t="shared" si="69"/>
        <v/>
      </c>
      <c r="H95" t="str">
        <f t="shared" si="82"/>
        <v/>
      </c>
      <c r="I95" t="str">
        <f t="shared" si="83"/>
        <v/>
      </c>
      <c r="Q95">
        <f>VLOOKUP(display!$AD$5,lists!G:H,2,FALSE)</f>
        <v>45323</v>
      </c>
      <c r="R95">
        <f t="shared" si="71"/>
        <v>45323</v>
      </c>
      <c r="S95" t="str">
        <f>IF(R95&gt;Q95,"omit","incl")</f>
        <v>incl</v>
      </c>
      <c r="T95" s="9">
        <f t="shared" si="72"/>
        <v>45323</v>
      </c>
      <c r="U95" s="9">
        <f t="shared" si="85"/>
        <v>45323</v>
      </c>
      <c r="V95" s="102">
        <f t="shared" si="86"/>
        <v>0.59259259259259256</v>
      </c>
      <c r="W95">
        <f t="shared" si="73"/>
        <v>16</v>
      </c>
      <c r="X95">
        <f t="shared" si="74"/>
        <v>11</v>
      </c>
      <c r="Y95">
        <f t="shared" si="75"/>
        <v>27</v>
      </c>
      <c r="Z95" t="str">
        <f t="shared" si="76"/>
        <v/>
      </c>
      <c r="AA95" t="str">
        <f t="shared" si="77"/>
        <v/>
      </c>
      <c r="AB95" t="str">
        <f t="shared" si="78"/>
        <v/>
      </c>
    </row>
    <row r="96" spans="1:28" x14ac:dyDescent="0.3">
      <c r="B96" t="str">
        <f>B79</f>
        <v>Ave</v>
      </c>
      <c r="C96" s="102">
        <f t="shared" si="80"/>
        <v>0.689873417721519</v>
      </c>
      <c r="D96">
        <f>ROUND(AVERAGE(D84:D95),1)</f>
        <v>21.8</v>
      </c>
      <c r="E96">
        <f>ROUND(IF($A$80=1,E79,IF($A$80=2,G79,IF($A$80=3,F79-I79,IF($A$80=4,M79,IF($A$80=5,O79,"Error"))))),1)</f>
        <v>9.8000000000000007</v>
      </c>
      <c r="F96">
        <f>ROUND(IF($A$80=1,C79,IF($A$80=2,H79,IF($A$80=3,F79,IF($A$80=4,L79,IF($A$80=5,P79,"Error"))))),1)</f>
        <v>31.6</v>
      </c>
      <c r="G96" t="str">
        <f t="shared" si="69"/>
        <v/>
      </c>
      <c r="H96" t="str">
        <f t="shared" si="82"/>
        <v/>
      </c>
      <c r="I96" t="str">
        <f t="shared" si="83"/>
        <v/>
      </c>
      <c r="T96" t="s">
        <v>24</v>
      </c>
      <c r="U96" t="s">
        <v>24</v>
      </c>
      <c r="V96" s="102">
        <f t="shared" si="86"/>
        <v>0.66551724137931034</v>
      </c>
      <c r="W96">
        <f>ROUND(AVERAGE(W84:W95),1)</f>
        <v>19.3</v>
      </c>
      <c r="X96">
        <f>ROUND(AVERAGE(X84:X95),1)</f>
        <v>9.6999999999999993</v>
      </c>
      <c r="Y96">
        <f>IF($A$80=1,V79,IF($A$80=2,AA79,IF($A$80=3,Y79,IF($A$80=4,AE79,IF($A$80=5,AI79,"Error")))))</f>
        <v>28.916666666666668</v>
      </c>
      <c r="Z96" t="str">
        <f t="shared" ref="Z96" si="87">IF($A$80=1,"",IF($A$80=2,"",IF($A$80=3,"",IF($A$80=4,"",IF($A$80=5,AE79,"Error")))))</f>
        <v/>
      </c>
      <c r="AA96" t="str">
        <f t="shared" ref="AA96" si="88">IF($A$80=1,"",IF($A$80=2,"",IF($A$80=3,"",IF($A$80=4,"",IF($A$80=5,AJ79,"Error")))))</f>
        <v/>
      </c>
      <c r="AB96" t="str">
        <f t="shared" ref="AB96" si="89">IF($A$80=1,"",IF($A$80=2,"",IF($A$80=3,"",IF($A$80=4,"",IF($A$80=5,AK79,"Error")))))</f>
        <v/>
      </c>
    </row>
  </sheetData>
  <mergeCells count="92">
    <mergeCell ref="B81:F81"/>
    <mergeCell ref="U41:W41"/>
    <mergeCell ref="U42:W42"/>
    <mergeCell ref="U43:W43"/>
    <mergeCell ref="U44:W44"/>
    <mergeCell ref="U45:W45"/>
    <mergeCell ref="B41:D41"/>
    <mergeCell ref="B42:D42"/>
    <mergeCell ref="B43:D43"/>
    <mergeCell ref="B44:D44"/>
    <mergeCell ref="B45:D45"/>
    <mergeCell ref="U81:Y81"/>
    <mergeCell ref="U36:W36"/>
    <mergeCell ref="U37:W37"/>
    <mergeCell ref="U38:W38"/>
    <mergeCell ref="U39:W39"/>
    <mergeCell ref="U40:W40"/>
    <mergeCell ref="B36:D36"/>
    <mergeCell ref="B37:D37"/>
    <mergeCell ref="B38:D38"/>
    <mergeCell ref="B39:D39"/>
    <mergeCell ref="B40:D40"/>
    <mergeCell ref="T1:AH1"/>
    <mergeCell ref="Z3:AB3"/>
    <mergeCell ref="AE3:AG3"/>
    <mergeCell ref="B3:D3"/>
    <mergeCell ref="G3:I3"/>
    <mergeCell ref="L3:N3"/>
    <mergeCell ref="U3:W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U10:W10"/>
    <mergeCell ref="U11:W11"/>
    <mergeCell ref="U12:W12"/>
    <mergeCell ref="U9:W9"/>
    <mergeCell ref="B6:D6"/>
    <mergeCell ref="B7:D7"/>
    <mergeCell ref="B8:D8"/>
    <mergeCell ref="B9:D9"/>
    <mergeCell ref="B5:D5"/>
    <mergeCell ref="U5:W5"/>
    <mergeCell ref="U6:W6"/>
    <mergeCell ref="U7:W7"/>
    <mergeCell ref="U8:W8"/>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U34:W34"/>
    <mergeCell ref="U35:W35"/>
    <mergeCell ref="U28:W28"/>
    <mergeCell ref="U29:W29"/>
    <mergeCell ref="U30:W30"/>
    <mergeCell ref="U31:W31"/>
    <mergeCell ref="U32:W32"/>
    <mergeCell ref="U33:W33"/>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D22" sqref="D22"/>
    </sheetView>
  </sheetViews>
  <sheetFormatPr defaultColWidth="8.6640625" defaultRowHeight="14.4" x14ac:dyDescent="0.3"/>
  <cols>
    <col min="1" max="1" width="17.33203125" bestFit="1" customWidth="1"/>
    <col min="3" max="3" width="19.44140625" style="6" customWidth="1"/>
    <col min="4" max="4" width="34.109375" bestFit="1" customWidth="1"/>
    <col min="9" max="9" width="11.44140625" bestFit="1" customWidth="1"/>
  </cols>
  <sheetData>
    <row r="1" spans="1:19" ht="23.4" x14ac:dyDescent="0.45">
      <c r="A1" s="271" t="s">
        <v>44206</v>
      </c>
      <c r="B1" s="271"/>
      <c r="C1" s="271"/>
      <c r="D1" s="271"/>
      <c r="E1" s="271"/>
      <c r="F1" s="271"/>
      <c r="G1" s="271"/>
      <c r="H1" s="271"/>
      <c r="I1" s="271"/>
      <c r="J1" s="271"/>
      <c r="K1" s="271"/>
      <c r="L1" s="271"/>
      <c r="M1" s="271"/>
      <c r="N1" s="271"/>
      <c r="O1" s="271"/>
      <c r="P1" s="271"/>
      <c r="Q1" s="271"/>
      <c r="R1" s="271"/>
      <c r="S1" s="271"/>
    </row>
    <row r="2" spans="1:19" x14ac:dyDescent="0.3">
      <c r="B2" s="272" t="s">
        <v>44207</v>
      </c>
    </row>
    <row r="3" spans="1:19" x14ac:dyDescent="0.3">
      <c r="A3" s="56" t="s">
        <v>44153</v>
      </c>
      <c r="B3" s="273"/>
      <c r="C3" s="267" t="s">
        <v>44154</v>
      </c>
      <c r="D3" s="263"/>
      <c r="F3" s="267" t="s">
        <v>44208</v>
      </c>
      <c r="G3" s="262"/>
      <c r="H3" s="262"/>
      <c r="I3" s="263"/>
    </row>
    <row r="4" spans="1:19" x14ac:dyDescent="0.3">
      <c r="A4" t="s">
        <v>6</v>
      </c>
      <c r="B4" t="s">
        <v>44209</v>
      </c>
      <c r="C4" s="57" t="s">
        <v>44210</v>
      </c>
      <c r="D4" t="s">
        <v>6</v>
      </c>
      <c r="F4" s="60" t="s">
        <v>44155</v>
      </c>
      <c r="G4" s="60" t="s">
        <v>44211</v>
      </c>
      <c r="H4" s="60" t="s">
        <v>44212</v>
      </c>
      <c r="I4" s="60" t="s">
        <v>44213</v>
      </c>
    </row>
    <row r="5" spans="1:19" x14ac:dyDescent="0.3">
      <c r="A5" t="s">
        <v>44209</v>
      </c>
      <c r="B5" t="s">
        <v>44214</v>
      </c>
      <c r="C5" s="57" t="s">
        <v>44215</v>
      </c>
      <c r="D5" t="s">
        <v>44216</v>
      </c>
      <c r="F5" s="6">
        <v>1</v>
      </c>
      <c r="G5" s="38" t="s">
        <v>44217</v>
      </c>
      <c r="H5" s="17">
        <v>41000</v>
      </c>
      <c r="I5" s="17" t="str">
        <f t="shared" ref="I5:I36" si="0">G5</f>
        <v>Apr-12</v>
      </c>
    </row>
    <row r="6" spans="1:19" x14ac:dyDescent="0.3">
      <c r="A6" t="s">
        <v>44214</v>
      </c>
      <c r="B6" t="s">
        <v>44218</v>
      </c>
      <c r="C6" s="57" t="s">
        <v>44219</v>
      </c>
      <c r="D6" t="s">
        <v>44220</v>
      </c>
      <c r="F6" s="6">
        <v>2</v>
      </c>
      <c r="G6" s="38" t="s">
        <v>44221</v>
      </c>
      <c r="H6" s="17">
        <v>41030</v>
      </c>
      <c r="I6" s="17" t="str">
        <f t="shared" si="0"/>
        <v>May-12</v>
      </c>
    </row>
    <row r="7" spans="1:19" x14ac:dyDescent="0.3">
      <c r="A7" t="s">
        <v>44218</v>
      </c>
      <c r="B7" t="s">
        <v>44222</v>
      </c>
      <c r="C7" s="57" t="s">
        <v>44223</v>
      </c>
      <c r="D7" t="s">
        <v>44224</v>
      </c>
      <c r="F7" s="6">
        <v>3</v>
      </c>
      <c r="G7" s="38" t="s">
        <v>44225</v>
      </c>
      <c r="H7" s="17">
        <v>41061</v>
      </c>
      <c r="I7" s="17" t="str">
        <f t="shared" si="0"/>
        <v>Jun-12</v>
      </c>
    </row>
    <row r="8" spans="1:19" x14ac:dyDescent="0.3">
      <c r="A8" t="s">
        <v>44222</v>
      </c>
      <c r="B8" t="s">
        <v>44226</v>
      </c>
      <c r="C8" s="57" t="s">
        <v>44227</v>
      </c>
      <c r="D8" t="s">
        <v>44228</v>
      </c>
      <c r="F8" s="6">
        <v>4</v>
      </c>
      <c r="G8" s="38" t="s">
        <v>44229</v>
      </c>
      <c r="H8" s="17">
        <v>41091</v>
      </c>
      <c r="I8" s="17" t="str">
        <f t="shared" si="0"/>
        <v>Jul-12</v>
      </c>
    </row>
    <row r="9" spans="1:19" x14ac:dyDescent="0.3">
      <c r="A9" t="s">
        <v>44226</v>
      </c>
      <c r="B9" t="s">
        <v>44230</v>
      </c>
      <c r="C9" s="57" t="s">
        <v>44231</v>
      </c>
      <c r="D9" t="s">
        <v>44232</v>
      </c>
      <c r="F9" s="6">
        <v>5</v>
      </c>
      <c r="G9" s="38" t="s">
        <v>44233</v>
      </c>
      <c r="H9" s="17">
        <v>41122</v>
      </c>
      <c r="I9" s="17" t="str">
        <f t="shared" si="0"/>
        <v>Aug-12</v>
      </c>
    </row>
    <row r="10" spans="1:19" x14ac:dyDescent="0.3">
      <c r="A10" t="s">
        <v>44230</v>
      </c>
      <c r="B10" t="s">
        <v>44234</v>
      </c>
      <c r="C10" s="57" t="s">
        <v>44235</v>
      </c>
      <c r="D10" t="s">
        <v>44236</v>
      </c>
      <c r="F10" s="6">
        <v>6</v>
      </c>
      <c r="G10" s="38" t="s">
        <v>44237</v>
      </c>
      <c r="H10" s="17">
        <v>41153</v>
      </c>
      <c r="I10" s="17" t="str">
        <f t="shared" si="0"/>
        <v>Sep-12</v>
      </c>
    </row>
    <row r="11" spans="1:19" x14ac:dyDescent="0.3">
      <c r="A11" t="s">
        <v>44234</v>
      </c>
      <c r="B11" t="s">
        <v>44238</v>
      </c>
      <c r="C11" s="57" t="s">
        <v>44239</v>
      </c>
      <c r="D11" t="s">
        <v>44240</v>
      </c>
      <c r="F11" s="6">
        <v>7</v>
      </c>
      <c r="G11" s="38" t="s">
        <v>44241</v>
      </c>
      <c r="H11" s="17">
        <v>41183</v>
      </c>
      <c r="I11" s="17" t="str">
        <f t="shared" si="0"/>
        <v>Oct-12</v>
      </c>
    </row>
    <row r="12" spans="1:19" x14ac:dyDescent="0.3">
      <c r="A12" t="s">
        <v>44238</v>
      </c>
      <c r="B12" t="s">
        <v>44242</v>
      </c>
      <c r="C12" s="57" t="s">
        <v>44243</v>
      </c>
      <c r="D12" t="s">
        <v>44244</v>
      </c>
      <c r="F12" s="6">
        <v>8</v>
      </c>
      <c r="G12" s="38" t="s">
        <v>44245</v>
      </c>
      <c r="H12" s="17">
        <v>41214</v>
      </c>
      <c r="I12" s="17" t="str">
        <f t="shared" si="0"/>
        <v>Nov-12</v>
      </c>
    </row>
    <row r="13" spans="1:19" x14ac:dyDescent="0.3">
      <c r="A13" t="s">
        <v>44242</v>
      </c>
      <c r="B13" t="s">
        <v>44246</v>
      </c>
      <c r="C13" s="57" t="s">
        <v>44247</v>
      </c>
      <c r="D13" t="s">
        <v>44248</v>
      </c>
      <c r="F13" s="6">
        <v>9</v>
      </c>
      <c r="G13" s="38" t="s">
        <v>44249</v>
      </c>
      <c r="H13" s="17">
        <v>41244</v>
      </c>
      <c r="I13" s="17" t="str">
        <f t="shared" si="0"/>
        <v>Dec-12</v>
      </c>
    </row>
    <row r="14" spans="1:19" x14ac:dyDescent="0.3">
      <c r="A14" t="s">
        <v>44246</v>
      </c>
      <c r="B14" t="s">
        <v>44250</v>
      </c>
      <c r="C14" s="57" t="s">
        <v>44251</v>
      </c>
      <c r="D14" t="s">
        <v>44252</v>
      </c>
      <c r="F14" s="6">
        <v>10</v>
      </c>
      <c r="G14" s="38" t="s">
        <v>44253</v>
      </c>
      <c r="H14" s="17">
        <v>41275</v>
      </c>
      <c r="I14" s="17" t="str">
        <f t="shared" si="0"/>
        <v>Jan-13</v>
      </c>
    </row>
    <row r="15" spans="1:19" x14ac:dyDescent="0.3">
      <c r="A15" t="s">
        <v>44250</v>
      </c>
      <c r="B15" t="s">
        <v>44254</v>
      </c>
      <c r="C15" s="57" t="s">
        <v>44255</v>
      </c>
      <c r="D15" t="s">
        <v>44256</v>
      </c>
      <c r="F15" s="6">
        <v>11</v>
      </c>
      <c r="G15" s="38" t="s">
        <v>44257</v>
      </c>
      <c r="H15" s="17">
        <v>41306</v>
      </c>
      <c r="I15" s="17" t="str">
        <f t="shared" si="0"/>
        <v>Feb-13</v>
      </c>
    </row>
    <row r="16" spans="1:19" x14ac:dyDescent="0.3">
      <c r="A16" t="s">
        <v>44254</v>
      </c>
      <c r="B16" t="s">
        <v>44258</v>
      </c>
      <c r="C16" s="57" t="s">
        <v>44259</v>
      </c>
      <c r="D16" t="s">
        <v>44260</v>
      </c>
      <c r="F16" s="6">
        <v>12</v>
      </c>
      <c r="G16" s="38" t="s">
        <v>44261</v>
      </c>
      <c r="H16" s="17">
        <v>41334</v>
      </c>
      <c r="I16" s="17" t="str">
        <f t="shared" si="0"/>
        <v>Mar-13</v>
      </c>
    </row>
    <row r="17" spans="1:9" x14ac:dyDescent="0.3">
      <c r="A17" t="s">
        <v>44258</v>
      </c>
      <c r="C17" s="57" t="s">
        <v>44262</v>
      </c>
      <c r="D17" t="s">
        <v>44263</v>
      </c>
      <c r="F17" s="6">
        <v>13</v>
      </c>
      <c r="G17" s="38" t="s">
        <v>44264</v>
      </c>
      <c r="H17" s="17">
        <v>41365</v>
      </c>
      <c r="I17" s="17" t="str">
        <f t="shared" si="0"/>
        <v>Apr-13</v>
      </c>
    </row>
    <row r="18" spans="1:9" x14ac:dyDescent="0.3">
      <c r="C18" s="57" t="s">
        <v>44265</v>
      </c>
      <c r="D18" t="s">
        <v>44266</v>
      </c>
      <c r="F18" s="6">
        <v>14</v>
      </c>
      <c r="G18" s="38" t="s">
        <v>44267</v>
      </c>
      <c r="H18" s="17">
        <v>41395</v>
      </c>
      <c r="I18" s="17" t="str">
        <f t="shared" si="0"/>
        <v>May-13</v>
      </c>
    </row>
    <row r="19" spans="1:9" x14ac:dyDescent="0.3">
      <c r="C19" s="57" t="s">
        <v>44268</v>
      </c>
      <c r="D19" t="s">
        <v>44269</v>
      </c>
      <c r="F19" s="6">
        <v>15</v>
      </c>
      <c r="G19" s="38" t="s">
        <v>44270</v>
      </c>
      <c r="H19" s="17">
        <v>41426</v>
      </c>
      <c r="I19" s="17" t="str">
        <f t="shared" si="0"/>
        <v>Jun-13</v>
      </c>
    </row>
    <row r="20" spans="1:9" x14ac:dyDescent="0.3">
      <c r="C20" s="57" t="s">
        <v>44271</v>
      </c>
      <c r="D20" t="s">
        <v>44272</v>
      </c>
      <c r="F20" s="6">
        <v>16</v>
      </c>
      <c r="G20" s="38" t="s">
        <v>44273</v>
      </c>
      <c r="H20" s="17">
        <v>41456</v>
      </c>
      <c r="I20" s="17" t="str">
        <f t="shared" si="0"/>
        <v>Jul-13</v>
      </c>
    </row>
    <row r="21" spans="1:9" x14ac:dyDescent="0.3">
      <c r="C21" s="57" t="s">
        <v>44274</v>
      </c>
      <c r="D21" t="s">
        <v>44275</v>
      </c>
      <c r="F21" s="6">
        <v>17</v>
      </c>
      <c r="G21" s="38" t="s">
        <v>44276</v>
      </c>
      <c r="H21" s="17">
        <v>41487</v>
      </c>
      <c r="I21" s="17" t="str">
        <f t="shared" si="0"/>
        <v>Aug-13</v>
      </c>
    </row>
    <row r="22" spans="1:9" x14ac:dyDescent="0.3">
      <c r="C22" s="57" t="s">
        <v>44277</v>
      </c>
      <c r="D22" t="s">
        <v>44278</v>
      </c>
      <c r="F22" s="6">
        <v>18</v>
      </c>
      <c r="G22" s="38" t="s">
        <v>44279</v>
      </c>
      <c r="H22" s="17">
        <v>41518</v>
      </c>
      <c r="I22" s="17" t="str">
        <f t="shared" si="0"/>
        <v>Sep-13</v>
      </c>
    </row>
    <row r="23" spans="1:9" x14ac:dyDescent="0.3">
      <c r="C23" s="57" t="s">
        <v>44280</v>
      </c>
      <c r="D23" t="s">
        <v>44281</v>
      </c>
      <c r="F23" s="6">
        <v>19</v>
      </c>
      <c r="G23" s="38" t="s">
        <v>44282</v>
      </c>
      <c r="H23" s="17">
        <v>41548</v>
      </c>
      <c r="I23" s="17" t="str">
        <f t="shared" si="0"/>
        <v>Oct-13</v>
      </c>
    </row>
    <row r="24" spans="1:9" x14ac:dyDescent="0.3">
      <c r="A24" s="56" t="s">
        <v>44152</v>
      </c>
      <c r="C24" s="57" t="s">
        <v>44283</v>
      </c>
      <c r="D24" t="s">
        <v>44284</v>
      </c>
      <c r="F24" s="6">
        <v>20</v>
      </c>
      <c r="G24" s="38" t="s">
        <v>44285</v>
      </c>
      <c r="H24" s="17">
        <v>41579</v>
      </c>
      <c r="I24" s="17" t="str">
        <f t="shared" si="0"/>
        <v>Nov-13</v>
      </c>
    </row>
    <row r="25" spans="1:9" x14ac:dyDescent="0.3">
      <c r="A25" t="s">
        <v>4</v>
      </c>
      <c r="C25" s="57" t="s">
        <v>44286</v>
      </c>
      <c r="D25" t="s">
        <v>44287</v>
      </c>
      <c r="F25" s="6">
        <v>21</v>
      </c>
      <c r="G25" s="38" t="s">
        <v>44288</v>
      </c>
      <c r="H25" s="17">
        <v>41609</v>
      </c>
      <c r="I25" s="17" t="str">
        <f t="shared" si="0"/>
        <v>Dec-13</v>
      </c>
    </row>
    <row r="26" spans="1:9" x14ac:dyDescent="0.3">
      <c r="A26" t="s">
        <v>80</v>
      </c>
      <c r="C26" s="57" t="s">
        <v>44289</v>
      </c>
      <c r="D26" t="s">
        <v>44290</v>
      </c>
      <c r="F26" s="6">
        <v>22</v>
      </c>
      <c r="G26" s="38" t="s">
        <v>44291</v>
      </c>
      <c r="H26" s="17">
        <v>41640</v>
      </c>
      <c r="I26" s="17" t="str">
        <f t="shared" si="0"/>
        <v>Jan-14</v>
      </c>
    </row>
    <row r="27" spans="1:9" x14ac:dyDescent="0.3">
      <c r="A27" t="s">
        <v>15341</v>
      </c>
      <c r="C27" s="57" t="s">
        <v>44292</v>
      </c>
      <c r="D27" t="s">
        <v>44293</v>
      </c>
      <c r="F27" s="6">
        <v>23</v>
      </c>
      <c r="G27" s="38" t="s">
        <v>44294</v>
      </c>
      <c r="H27" s="17">
        <v>41671</v>
      </c>
      <c r="I27" s="17" t="str">
        <f t="shared" si="0"/>
        <v>Feb-14</v>
      </c>
    </row>
    <row r="28" spans="1:9" x14ac:dyDescent="0.3">
      <c r="C28" s="57" t="s">
        <v>44295</v>
      </c>
      <c r="D28" t="s">
        <v>44296</v>
      </c>
      <c r="F28" s="6">
        <v>24</v>
      </c>
      <c r="G28" s="38" t="s">
        <v>44297</v>
      </c>
      <c r="H28" s="17">
        <v>41699</v>
      </c>
      <c r="I28" s="17" t="str">
        <f t="shared" si="0"/>
        <v>Mar-14</v>
      </c>
    </row>
    <row r="29" spans="1:9" x14ac:dyDescent="0.3">
      <c r="A29" s="56" t="s">
        <v>44298</v>
      </c>
      <c r="C29" s="57" t="s">
        <v>44299</v>
      </c>
      <c r="D29" t="s">
        <v>44300</v>
      </c>
      <c r="F29" s="6">
        <v>25</v>
      </c>
      <c r="G29" s="38" t="s">
        <v>44301</v>
      </c>
      <c r="H29" s="17">
        <v>41730</v>
      </c>
      <c r="I29" s="17" t="str">
        <f t="shared" si="0"/>
        <v>Apr-14</v>
      </c>
    </row>
    <row r="30" spans="1:9" x14ac:dyDescent="0.3">
      <c r="A30" t="s">
        <v>19</v>
      </c>
      <c r="C30" s="57" t="s">
        <v>44302</v>
      </c>
      <c r="D30" t="s">
        <v>44303</v>
      </c>
      <c r="F30" s="6">
        <v>26</v>
      </c>
      <c r="G30" s="38" t="s">
        <v>44304</v>
      </c>
      <c r="H30" s="17">
        <v>41760</v>
      </c>
      <c r="I30" s="17" t="str">
        <f t="shared" si="0"/>
        <v>May-14</v>
      </c>
    </row>
    <row r="31" spans="1:9" x14ac:dyDescent="0.3">
      <c r="A31" t="s">
        <v>17</v>
      </c>
      <c r="C31" s="57" t="s">
        <v>44305</v>
      </c>
      <c r="D31" t="s">
        <v>44306</v>
      </c>
      <c r="F31" s="6">
        <v>27</v>
      </c>
      <c r="G31" s="38" t="s">
        <v>44307</v>
      </c>
      <c r="H31" s="17">
        <v>41791</v>
      </c>
      <c r="I31" s="17" t="str">
        <f t="shared" si="0"/>
        <v>Jun-14</v>
      </c>
    </row>
    <row r="32" spans="1:9" x14ac:dyDescent="0.3">
      <c r="A32" t="s">
        <v>21</v>
      </c>
      <c r="C32" s="57" t="s">
        <v>44308</v>
      </c>
      <c r="D32" t="s">
        <v>44309</v>
      </c>
      <c r="F32" s="6">
        <v>28</v>
      </c>
      <c r="G32" s="38" t="s">
        <v>44310</v>
      </c>
      <c r="H32" s="17">
        <v>41821</v>
      </c>
      <c r="I32" s="17" t="str">
        <f t="shared" si="0"/>
        <v>Jul-14</v>
      </c>
    </row>
    <row r="33" spans="1:9" x14ac:dyDescent="0.3">
      <c r="A33" t="s">
        <v>22</v>
      </c>
      <c r="C33" s="57" t="s">
        <v>44311</v>
      </c>
      <c r="D33" t="s">
        <v>44312</v>
      </c>
      <c r="F33" s="6">
        <v>29</v>
      </c>
      <c r="G33" s="38" t="s">
        <v>44313</v>
      </c>
      <c r="H33" s="17">
        <v>41852</v>
      </c>
      <c r="I33" s="17" t="str">
        <f t="shared" si="0"/>
        <v>Aug-14</v>
      </c>
    </row>
    <row r="34" spans="1:9" x14ac:dyDescent="0.3">
      <c r="A34" t="s">
        <v>23</v>
      </c>
      <c r="C34" s="57" t="s">
        <v>44314</v>
      </c>
      <c r="D34" t="s">
        <v>44315</v>
      </c>
      <c r="F34" s="6">
        <v>30</v>
      </c>
      <c r="G34" s="38" t="s">
        <v>44316</v>
      </c>
      <c r="H34" s="17">
        <v>41883</v>
      </c>
      <c r="I34" s="17" t="str">
        <f t="shared" si="0"/>
        <v>Sep-14</v>
      </c>
    </row>
    <row r="35" spans="1:9" x14ac:dyDescent="0.3">
      <c r="C35" s="57" t="s">
        <v>44317</v>
      </c>
      <c r="D35" t="s">
        <v>44318</v>
      </c>
      <c r="F35" s="6">
        <v>31</v>
      </c>
      <c r="G35" s="38" t="s">
        <v>44319</v>
      </c>
      <c r="H35" s="17">
        <v>41913</v>
      </c>
      <c r="I35" s="17" t="str">
        <f t="shared" si="0"/>
        <v>Oct-14</v>
      </c>
    </row>
    <row r="36" spans="1:9" x14ac:dyDescent="0.3">
      <c r="C36" s="57" t="s">
        <v>44320</v>
      </c>
      <c r="D36" t="s">
        <v>44321</v>
      </c>
      <c r="F36" s="6">
        <v>32</v>
      </c>
      <c r="G36" s="38" t="s">
        <v>44322</v>
      </c>
      <c r="H36" s="17">
        <v>41944</v>
      </c>
      <c r="I36" s="17" t="str">
        <f t="shared" si="0"/>
        <v>Nov-14</v>
      </c>
    </row>
    <row r="37" spans="1:9" x14ac:dyDescent="0.3">
      <c r="C37" s="57" t="s">
        <v>44323</v>
      </c>
      <c r="D37" t="s">
        <v>44324</v>
      </c>
      <c r="F37" s="6">
        <v>33</v>
      </c>
      <c r="G37" s="38" t="s">
        <v>44325</v>
      </c>
      <c r="H37" s="17">
        <v>41974</v>
      </c>
      <c r="I37" s="17" t="str">
        <f t="shared" ref="I37:I68" si="1">G37</f>
        <v>Dec-14</v>
      </c>
    </row>
    <row r="38" spans="1:9" x14ac:dyDescent="0.3">
      <c r="C38" s="57" t="s">
        <v>44326</v>
      </c>
      <c r="D38" t="s">
        <v>44327</v>
      </c>
      <c r="F38" s="6">
        <v>34</v>
      </c>
      <c r="G38" s="38" t="s">
        <v>44328</v>
      </c>
      <c r="H38" s="17">
        <v>42005</v>
      </c>
      <c r="I38" s="17" t="str">
        <f t="shared" si="1"/>
        <v>Jan-15</v>
      </c>
    </row>
    <row r="39" spans="1:9" x14ac:dyDescent="0.3">
      <c r="C39" s="57" t="s">
        <v>44329</v>
      </c>
      <c r="D39" t="s">
        <v>44330</v>
      </c>
      <c r="F39" s="6">
        <v>35</v>
      </c>
      <c r="G39" s="38" t="s">
        <v>44331</v>
      </c>
      <c r="H39" s="17">
        <v>42036</v>
      </c>
      <c r="I39" s="17" t="str">
        <f t="shared" si="1"/>
        <v>Feb-15</v>
      </c>
    </row>
    <row r="40" spans="1:9" x14ac:dyDescent="0.3">
      <c r="C40" s="57" t="s">
        <v>44332</v>
      </c>
      <c r="D40" t="s">
        <v>44333</v>
      </c>
      <c r="F40" s="6">
        <v>36</v>
      </c>
      <c r="G40" s="38" t="s">
        <v>44334</v>
      </c>
      <c r="H40" s="17">
        <v>42064</v>
      </c>
      <c r="I40" s="17" t="str">
        <f t="shared" si="1"/>
        <v>Mar-15</v>
      </c>
    </row>
    <row r="41" spans="1:9" x14ac:dyDescent="0.3">
      <c r="C41" s="57" t="s">
        <v>44335</v>
      </c>
      <c r="F41" s="6">
        <v>37</v>
      </c>
      <c r="G41" s="38" t="s">
        <v>44336</v>
      </c>
      <c r="H41" s="17">
        <v>42095</v>
      </c>
      <c r="I41" s="17" t="str">
        <f t="shared" si="1"/>
        <v>Apr-15</v>
      </c>
    </row>
    <row r="42" spans="1:9" x14ac:dyDescent="0.3">
      <c r="C42" s="57" t="s">
        <v>44337</v>
      </c>
      <c r="F42" s="6">
        <v>38</v>
      </c>
      <c r="G42" s="38" t="s">
        <v>44338</v>
      </c>
      <c r="H42" s="17">
        <v>42125</v>
      </c>
      <c r="I42" s="17" t="str">
        <f t="shared" si="1"/>
        <v>May-15</v>
      </c>
    </row>
    <row r="43" spans="1:9" x14ac:dyDescent="0.3">
      <c r="C43" s="57" t="s">
        <v>44339</v>
      </c>
      <c r="F43" s="6">
        <v>39</v>
      </c>
      <c r="G43" s="38" t="s">
        <v>44340</v>
      </c>
      <c r="H43" s="17">
        <v>42156</v>
      </c>
      <c r="I43" s="17" t="str">
        <f t="shared" si="1"/>
        <v>Jun-15</v>
      </c>
    </row>
    <row r="44" spans="1:9" x14ac:dyDescent="0.3">
      <c r="C44" s="57" t="s">
        <v>44341</v>
      </c>
      <c r="D44" t="s">
        <v>44342</v>
      </c>
      <c r="F44" s="6">
        <v>40</v>
      </c>
      <c r="G44" s="38" t="s">
        <v>44343</v>
      </c>
      <c r="H44" s="17">
        <v>42186</v>
      </c>
      <c r="I44" s="17" t="str">
        <f t="shared" si="1"/>
        <v>Jul-15</v>
      </c>
    </row>
    <row r="45" spans="1:9" x14ac:dyDescent="0.3">
      <c r="C45" s="57" t="s">
        <v>44344</v>
      </c>
      <c r="D45" t="s">
        <v>44345</v>
      </c>
      <c r="F45" s="6">
        <v>41</v>
      </c>
      <c r="G45" s="38" t="s">
        <v>44346</v>
      </c>
      <c r="H45" s="17">
        <v>42217</v>
      </c>
      <c r="I45" s="17" t="str">
        <f t="shared" si="1"/>
        <v>Aug-15</v>
      </c>
    </row>
    <row r="46" spans="1:9" x14ac:dyDescent="0.3">
      <c r="C46" s="57" t="s">
        <v>44347</v>
      </c>
      <c r="D46" t="s">
        <v>44348</v>
      </c>
      <c r="F46" s="6">
        <v>42</v>
      </c>
      <c r="G46" s="38" t="s">
        <v>44349</v>
      </c>
      <c r="H46" s="17">
        <v>42248</v>
      </c>
      <c r="I46" s="17" t="str">
        <f t="shared" si="1"/>
        <v>Sep-15</v>
      </c>
    </row>
    <row r="47" spans="1:9" x14ac:dyDescent="0.3">
      <c r="C47" s="57" t="s">
        <v>44350</v>
      </c>
      <c r="D47" t="s">
        <v>44351</v>
      </c>
      <c r="F47" s="6">
        <v>43</v>
      </c>
      <c r="G47" s="38" t="s">
        <v>44352</v>
      </c>
      <c r="H47" s="17">
        <v>42278</v>
      </c>
      <c r="I47" s="17" t="str">
        <f t="shared" si="1"/>
        <v>Oct-15</v>
      </c>
    </row>
    <row r="48" spans="1:9" x14ac:dyDescent="0.3">
      <c r="C48" s="57" t="s">
        <v>44353</v>
      </c>
      <c r="D48" t="s">
        <v>44300</v>
      </c>
      <c r="F48" s="6">
        <v>44</v>
      </c>
      <c r="G48" s="38" t="s">
        <v>44354</v>
      </c>
      <c r="H48" s="17">
        <v>42309</v>
      </c>
      <c r="I48" s="17" t="str">
        <f t="shared" si="1"/>
        <v>Nov-15</v>
      </c>
    </row>
    <row r="49" spans="3:9" x14ac:dyDescent="0.3">
      <c r="C49" s="57" t="s">
        <v>44355</v>
      </c>
      <c r="D49" t="s">
        <v>44356</v>
      </c>
      <c r="F49" s="6">
        <v>45</v>
      </c>
      <c r="G49" s="38" t="s">
        <v>44357</v>
      </c>
      <c r="H49" s="17">
        <v>42339</v>
      </c>
      <c r="I49" s="17" t="str">
        <f t="shared" si="1"/>
        <v>Dec-15</v>
      </c>
    </row>
    <row r="50" spans="3:9" x14ac:dyDescent="0.3">
      <c r="C50" s="57" t="s">
        <v>44358</v>
      </c>
      <c r="F50" s="6">
        <v>46</v>
      </c>
      <c r="G50" s="38" t="s">
        <v>44359</v>
      </c>
      <c r="H50" s="17">
        <v>42370</v>
      </c>
      <c r="I50" s="17" t="str">
        <f t="shared" si="1"/>
        <v>Jan-16</v>
      </c>
    </row>
    <row r="51" spans="3:9" x14ac:dyDescent="0.3">
      <c r="C51" s="57" t="s">
        <v>44360</v>
      </c>
      <c r="F51" s="6">
        <v>47</v>
      </c>
      <c r="G51" s="38" t="s">
        <v>44361</v>
      </c>
      <c r="H51" s="17">
        <v>42401</v>
      </c>
      <c r="I51" s="17" t="str">
        <f t="shared" si="1"/>
        <v>Feb-16</v>
      </c>
    </row>
    <row r="52" spans="3:9" x14ac:dyDescent="0.3">
      <c r="C52" s="57" t="s">
        <v>44362</v>
      </c>
      <c r="F52" s="6">
        <v>48</v>
      </c>
      <c r="G52" s="38" t="s">
        <v>44363</v>
      </c>
      <c r="H52" s="17">
        <v>42430</v>
      </c>
      <c r="I52" s="17" t="str">
        <f t="shared" si="1"/>
        <v>Mar-16</v>
      </c>
    </row>
    <row r="53" spans="3:9" x14ac:dyDescent="0.3">
      <c r="C53" s="57" t="s">
        <v>44364</v>
      </c>
      <c r="F53" s="6">
        <v>49</v>
      </c>
      <c r="G53" s="38" t="s">
        <v>44365</v>
      </c>
      <c r="H53" s="17">
        <v>42461</v>
      </c>
      <c r="I53" s="17" t="str">
        <f t="shared" si="1"/>
        <v>Apr-16</v>
      </c>
    </row>
    <row r="54" spans="3:9" x14ac:dyDescent="0.3">
      <c r="C54" s="57" t="s">
        <v>44366</v>
      </c>
      <c r="F54" s="6">
        <v>50</v>
      </c>
      <c r="G54" s="38" t="s">
        <v>44367</v>
      </c>
      <c r="H54" s="17">
        <v>42491</v>
      </c>
      <c r="I54" s="17" t="str">
        <f t="shared" si="1"/>
        <v>May-16</v>
      </c>
    </row>
    <row r="55" spans="3:9" x14ac:dyDescent="0.3">
      <c r="C55" s="57" t="s">
        <v>44368</v>
      </c>
      <c r="F55" s="6">
        <v>51</v>
      </c>
      <c r="G55" s="38" t="s">
        <v>44369</v>
      </c>
      <c r="H55" s="17">
        <v>42522</v>
      </c>
      <c r="I55" s="17" t="str">
        <f t="shared" si="1"/>
        <v>Jun-16</v>
      </c>
    </row>
    <row r="56" spans="3:9" x14ac:dyDescent="0.3">
      <c r="C56" s="57" t="s">
        <v>44370</v>
      </c>
      <c r="F56" s="6">
        <v>52</v>
      </c>
      <c r="G56" s="38" t="s">
        <v>44371</v>
      </c>
      <c r="H56" s="17">
        <v>42552</v>
      </c>
      <c r="I56" s="17" t="str">
        <f t="shared" si="1"/>
        <v>Jul-16</v>
      </c>
    </row>
    <row r="57" spans="3:9" x14ac:dyDescent="0.3">
      <c r="C57" s="57" t="s">
        <v>44372</v>
      </c>
      <c r="F57" s="6">
        <v>53</v>
      </c>
      <c r="G57" s="38" t="s">
        <v>44373</v>
      </c>
      <c r="H57" s="17">
        <v>42583</v>
      </c>
      <c r="I57" s="17" t="str">
        <f t="shared" si="1"/>
        <v>Aug-16</v>
      </c>
    </row>
    <row r="58" spans="3:9" x14ac:dyDescent="0.3">
      <c r="C58" s="57" t="s">
        <v>44374</v>
      </c>
      <c r="F58" s="6">
        <v>54</v>
      </c>
      <c r="G58" s="38" t="s">
        <v>44375</v>
      </c>
      <c r="H58" s="17">
        <v>42614</v>
      </c>
      <c r="I58" s="17" t="str">
        <f t="shared" si="1"/>
        <v>Sep-16</v>
      </c>
    </row>
    <row r="59" spans="3:9" x14ac:dyDescent="0.3">
      <c r="C59" s="57" t="s">
        <v>44376</v>
      </c>
      <c r="F59" s="6">
        <v>55</v>
      </c>
      <c r="G59" s="38" t="s">
        <v>44377</v>
      </c>
      <c r="H59" s="17">
        <v>42644</v>
      </c>
      <c r="I59" s="17" t="str">
        <f t="shared" si="1"/>
        <v>Oct-16</v>
      </c>
    </row>
    <row r="60" spans="3:9" x14ac:dyDescent="0.3">
      <c r="C60" s="57" t="s">
        <v>44378</v>
      </c>
      <c r="F60" s="6">
        <v>56</v>
      </c>
      <c r="G60" s="38" t="s">
        <v>44379</v>
      </c>
      <c r="H60" s="17">
        <v>42675</v>
      </c>
      <c r="I60" s="17" t="str">
        <f t="shared" si="1"/>
        <v>Nov-16</v>
      </c>
    </row>
    <row r="61" spans="3:9" x14ac:dyDescent="0.3">
      <c r="C61" s="57" t="s">
        <v>44380</v>
      </c>
      <c r="F61" s="6">
        <v>57</v>
      </c>
      <c r="G61" s="38" t="s">
        <v>44381</v>
      </c>
      <c r="H61" s="17">
        <v>42705</v>
      </c>
      <c r="I61" s="17" t="str">
        <f t="shared" si="1"/>
        <v>Dec-16</v>
      </c>
    </row>
    <row r="62" spans="3:9" x14ac:dyDescent="0.3">
      <c r="C62" s="57" t="s">
        <v>44382</v>
      </c>
      <c r="F62" s="6">
        <v>58</v>
      </c>
      <c r="G62" s="38" t="s">
        <v>44383</v>
      </c>
      <c r="H62" s="17">
        <v>42736</v>
      </c>
      <c r="I62" s="17" t="str">
        <f t="shared" si="1"/>
        <v>Jan-17</v>
      </c>
    </row>
    <row r="63" spans="3:9" x14ac:dyDescent="0.3">
      <c r="C63" s="57" t="s">
        <v>44384</v>
      </c>
      <c r="F63" s="6">
        <v>59</v>
      </c>
      <c r="G63" s="38" t="s">
        <v>44385</v>
      </c>
      <c r="H63" s="17">
        <v>42767</v>
      </c>
      <c r="I63" s="17" t="str">
        <f t="shared" si="1"/>
        <v>Feb-17</v>
      </c>
    </row>
    <row r="64" spans="3:9" x14ac:dyDescent="0.3">
      <c r="C64" s="57" t="s">
        <v>44386</v>
      </c>
      <c r="F64" s="6">
        <v>60</v>
      </c>
      <c r="G64" s="38" t="s">
        <v>44387</v>
      </c>
      <c r="H64" s="17">
        <v>42795</v>
      </c>
      <c r="I64" s="17" t="str">
        <f t="shared" si="1"/>
        <v>Mar-17</v>
      </c>
    </row>
    <row r="65" spans="3:9" x14ac:dyDescent="0.3">
      <c r="C65" s="57" t="s">
        <v>44388</v>
      </c>
      <c r="F65" s="6">
        <v>61</v>
      </c>
      <c r="G65" s="38" t="s">
        <v>44389</v>
      </c>
      <c r="H65" s="9">
        <v>42826</v>
      </c>
      <c r="I65" s="17" t="str">
        <f t="shared" si="1"/>
        <v>Apr-17</v>
      </c>
    </row>
    <row r="66" spans="3:9" x14ac:dyDescent="0.3">
      <c r="C66" s="57" t="s">
        <v>44390</v>
      </c>
      <c r="F66" s="6">
        <v>62</v>
      </c>
      <c r="G66" s="38" t="s">
        <v>44391</v>
      </c>
      <c r="H66" s="9">
        <v>42856</v>
      </c>
      <c r="I66" s="17" t="str">
        <f t="shared" si="1"/>
        <v>May-17</v>
      </c>
    </row>
    <row r="67" spans="3:9" x14ac:dyDescent="0.3">
      <c r="C67" s="57" t="s">
        <v>44392</v>
      </c>
      <c r="F67" s="6">
        <v>63</v>
      </c>
      <c r="G67" s="38" t="s">
        <v>44393</v>
      </c>
      <c r="H67" s="9">
        <v>42887</v>
      </c>
      <c r="I67" s="17" t="str">
        <f t="shared" si="1"/>
        <v>Jun-17</v>
      </c>
    </row>
    <row r="68" spans="3:9" x14ac:dyDescent="0.3">
      <c r="C68" s="57" t="s">
        <v>44394</v>
      </c>
      <c r="F68" s="6">
        <v>64</v>
      </c>
      <c r="G68" s="38" t="s">
        <v>44395</v>
      </c>
      <c r="H68" s="9">
        <v>42917</v>
      </c>
      <c r="I68" s="17" t="str">
        <f t="shared" si="1"/>
        <v>Jul-17</v>
      </c>
    </row>
    <row r="69" spans="3:9" x14ac:dyDescent="0.3">
      <c r="C69" s="57" t="s">
        <v>44396</v>
      </c>
      <c r="F69" s="6">
        <v>65</v>
      </c>
      <c r="G69" s="38" t="s">
        <v>44397</v>
      </c>
      <c r="H69" s="9">
        <v>42948</v>
      </c>
      <c r="I69" s="17" t="str">
        <f t="shared" ref="I69:I82" si="2">G69</f>
        <v>Aug-17</v>
      </c>
    </row>
    <row r="70" spans="3:9" x14ac:dyDescent="0.3">
      <c r="C70" s="57" t="s">
        <v>44398</v>
      </c>
      <c r="F70" s="6">
        <v>66</v>
      </c>
      <c r="G70" s="38" t="s">
        <v>44399</v>
      </c>
      <c r="H70" s="9">
        <v>42979</v>
      </c>
      <c r="I70" s="17" t="str">
        <f t="shared" si="2"/>
        <v>Sep-17</v>
      </c>
    </row>
    <row r="71" spans="3:9" x14ac:dyDescent="0.3">
      <c r="C71" s="57" t="s">
        <v>44400</v>
      </c>
      <c r="F71" s="6">
        <v>67</v>
      </c>
      <c r="G71" s="38" t="s">
        <v>44401</v>
      </c>
      <c r="H71" s="9">
        <v>43009</v>
      </c>
      <c r="I71" s="17" t="str">
        <f t="shared" si="2"/>
        <v>Oct-17</v>
      </c>
    </row>
    <row r="72" spans="3:9" x14ac:dyDescent="0.3">
      <c r="C72" s="57" t="s">
        <v>44402</v>
      </c>
      <c r="F72" s="6">
        <v>68</v>
      </c>
      <c r="G72" s="38" t="s">
        <v>44403</v>
      </c>
      <c r="H72" s="9">
        <v>43040</v>
      </c>
      <c r="I72" s="17" t="str">
        <f t="shared" si="2"/>
        <v>Nov-17</v>
      </c>
    </row>
    <row r="73" spans="3:9" x14ac:dyDescent="0.3">
      <c r="C73" s="57" t="s">
        <v>44404</v>
      </c>
      <c r="F73" s="6">
        <v>69</v>
      </c>
      <c r="G73" s="38" t="s">
        <v>44405</v>
      </c>
      <c r="H73" s="9">
        <v>43070</v>
      </c>
      <c r="I73" s="17" t="str">
        <f t="shared" si="2"/>
        <v>Dec-17</v>
      </c>
    </row>
    <row r="74" spans="3:9" x14ac:dyDescent="0.3">
      <c r="C74" s="57" t="s">
        <v>44406</v>
      </c>
      <c r="F74" s="6">
        <v>70</v>
      </c>
      <c r="G74" s="38" t="s">
        <v>44407</v>
      </c>
      <c r="H74" s="9">
        <v>43101</v>
      </c>
      <c r="I74" s="17" t="str">
        <f t="shared" si="2"/>
        <v>Jan-18</v>
      </c>
    </row>
    <row r="75" spans="3:9" x14ac:dyDescent="0.3">
      <c r="C75" s="57" t="s">
        <v>44408</v>
      </c>
      <c r="F75" s="6">
        <v>71</v>
      </c>
      <c r="G75" s="38" t="s">
        <v>44409</v>
      </c>
      <c r="H75" s="9">
        <v>43132</v>
      </c>
      <c r="I75" s="17" t="str">
        <f t="shared" si="2"/>
        <v>Feb-18</v>
      </c>
    </row>
    <row r="76" spans="3:9" x14ac:dyDescent="0.3">
      <c r="C76" s="57" t="s">
        <v>44410</v>
      </c>
      <c r="F76" s="6">
        <v>72</v>
      </c>
      <c r="G76" s="38" t="s">
        <v>44411</v>
      </c>
      <c r="H76" s="9">
        <v>43160</v>
      </c>
      <c r="I76" s="17" t="str">
        <f t="shared" si="2"/>
        <v>Mar-18</v>
      </c>
    </row>
    <row r="77" spans="3:9" x14ac:dyDescent="0.3">
      <c r="C77" s="57" t="s">
        <v>44412</v>
      </c>
      <c r="F77" s="6">
        <v>73</v>
      </c>
      <c r="G77" s="38" t="s">
        <v>44413</v>
      </c>
      <c r="H77" s="9">
        <v>43191</v>
      </c>
      <c r="I77" s="17" t="str">
        <f t="shared" si="2"/>
        <v>Apr-18</v>
      </c>
    </row>
    <row r="78" spans="3:9" x14ac:dyDescent="0.3">
      <c r="C78" s="57" t="s">
        <v>44414</v>
      </c>
      <c r="F78" s="6">
        <v>74</v>
      </c>
      <c r="G78" s="38" t="s">
        <v>44415</v>
      </c>
      <c r="H78" s="9">
        <v>43221</v>
      </c>
      <c r="I78" s="17" t="str">
        <f t="shared" si="2"/>
        <v>May-18</v>
      </c>
    </row>
    <row r="79" spans="3:9" x14ac:dyDescent="0.3">
      <c r="C79" s="57" t="s">
        <v>44416</v>
      </c>
      <c r="F79" s="6">
        <v>75</v>
      </c>
      <c r="G79" s="38" t="s">
        <v>44417</v>
      </c>
      <c r="H79" s="9">
        <v>43252</v>
      </c>
      <c r="I79" s="17" t="str">
        <f t="shared" si="2"/>
        <v>Jun-18</v>
      </c>
    </row>
    <row r="80" spans="3:9" x14ac:dyDescent="0.3">
      <c r="C80" s="57" t="s">
        <v>44418</v>
      </c>
      <c r="F80" s="6">
        <v>76</v>
      </c>
      <c r="G80" s="38" t="s">
        <v>44419</v>
      </c>
      <c r="H80" s="9">
        <v>43282</v>
      </c>
      <c r="I80" s="17" t="str">
        <f t="shared" si="2"/>
        <v>Jul-18</v>
      </c>
    </row>
    <row r="81" spans="3:9" x14ac:dyDescent="0.3">
      <c r="C81" s="57" t="s">
        <v>44420</v>
      </c>
      <c r="F81" s="6">
        <v>77</v>
      </c>
      <c r="G81" s="38" t="s">
        <v>44421</v>
      </c>
      <c r="H81" s="9">
        <v>43313</v>
      </c>
      <c r="I81" s="17" t="str">
        <f t="shared" si="2"/>
        <v>Aug-18</v>
      </c>
    </row>
    <row r="82" spans="3:9" x14ac:dyDescent="0.3">
      <c r="C82" s="57" t="s">
        <v>44422</v>
      </c>
      <c r="F82" s="6">
        <v>78</v>
      </c>
      <c r="G82" s="38" t="s">
        <v>44423</v>
      </c>
      <c r="H82" s="9">
        <v>43344</v>
      </c>
      <c r="I82" s="17" t="str">
        <f t="shared" si="2"/>
        <v>Sep-18</v>
      </c>
    </row>
    <row r="83" spans="3:9" x14ac:dyDescent="0.3">
      <c r="C83" s="57" t="s">
        <v>44424</v>
      </c>
      <c r="F83" s="6">
        <v>79</v>
      </c>
      <c r="G83" s="38" t="s">
        <v>44425</v>
      </c>
      <c r="H83" s="9">
        <v>43374</v>
      </c>
      <c r="I83" s="17" t="str">
        <f t="shared" ref="I83:I146" si="3">G83</f>
        <v>Oct-18</v>
      </c>
    </row>
    <row r="84" spans="3:9" x14ac:dyDescent="0.3">
      <c r="C84" s="6" t="s">
        <v>44426</v>
      </c>
      <c r="D84" t="s">
        <v>44427</v>
      </c>
      <c r="F84" s="6">
        <v>80</v>
      </c>
      <c r="G84" s="38" t="s">
        <v>44428</v>
      </c>
      <c r="H84" s="9">
        <v>43405</v>
      </c>
      <c r="I84" s="17" t="str">
        <f t="shared" si="3"/>
        <v>Nov-18</v>
      </c>
    </row>
    <row r="85" spans="3:9" x14ac:dyDescent="0.3">
      <c r="C85" s="6" t="s">
        <v>44429</v>
      </c>
      <c r="D85" t="s">
        <v>44252</v>
      </c>
      <c r="F85" s="6">
        <v>81</v>
      </c>
      <c r="G85" s="38" t="s">
        <v>44430</v>
      </c>
      <c r="H85" s="9">
        <v>43435</v>
      </c>
      <c r="I85" s="17" t="str">
        <f t="shared" si="3"/>
        <v>Dec-18</v>
      </c>
    </row>
    <row r="86" spans="3:9" x14ac:dyDescent="0.3">
      <c r="C86" s="6" t="s">
        <v>44431</v>
      </c>
      <c r="D86" t="s">
        <v>44272</v>
      </c>
      <c r="F86" s="6">
        <v>82</v>
      </c>
      <c r="G86" s="38" t="s">
        <v>44432</v>
      </c>
      <c r="H86" s="9">
        <v>43466</v>
      </c>
      <c r="I86" s="17" t="str">
        <f t="shared" si="3"/>
        <v>Jan-19</v>
      </c>
    </row>
    <row r="87" spans="3:9" x14ac:dyDescent="0.3">
      <c r="C87" s="6" t="s">
        <v>44433</v>
      </c>
      <c r="D87" t="s">
        <v>44275</v>
      </c>
      <c r="F87" s="6">
        <v>83</v>
      </c>
      <c r="G87" s="38" t="s">
        <v>44434</v>
      </c>
      <c r="H87" s="9">
        <v>43497</v>
      </c>
      <c r="I87" s="17" t="str">
        <f t="shared" si="3"/>
        <v>Feb-19</v>
      </c>
    </row>
    <row r="88" spans="3:9" x14ac:dyDescent="0.3">
      <c r="C88" s="6" t="s">
        <v>44435</v>
      </c>
      <c r="D88" t="s">
        <v>44318</v>
      </c>
      <c r="F88" s="6">
        <v>84</v>
      </c>
      <c r="G88" s="38" t="s">
        <v>44436</v>
      </c>
      <c r="H88" s="9">
        <v>43525</v>
      </c>
      <c r="I88" s="17" t="str">
        <f t="shared" si="3"/>
        <v>Mar-19</v>
      </c>
    </row>
    <row r="89" spans="3:9" x14ac:dyDescent="0.3">
      <c r="C89" s="6" t="s">
        <v>44437</v>
      </c>
      <c r="D89" t="s">
        <v>44438</v>
      </c>
      <c r="F89" s="6">
        <v>85</v>
      </c>
      <c r="G89" s="38" t="s">
        <v>44439</v>
      </c>
      <c r="H89" s="9">
        <v>43556</v>
      </c>
      <c r="I89" s="17" t="str">
        <f t="shared" si="3"/>
        <v>Apr-19</v>
      </c>
    </row>
    <row r="90" spans="3:9" x14ac:dyDescent="0.3">
      <c r="C90" s="6" t="s">
        <v>44440</v>
      </c>
      <c r="D90" t="s">
        <v>44438</v>
      </c>
      <c r="F90" s="6">
        <v>86</v>
      </c>
      <c r="G90" s="38" t="s">
        <v>44441</v>
      </c>
      <c r="H90" s="9">
        <v>43586</v>
      </c>
      <c r="I90" s="17" t="str">
        <f t="shared" si="3"/>
        <v>May-19</v>
      </c>
    </row>
    <row r="91" spans="3:9" x14ac:dyDescent="0.3">
      <c r="C91" s="6" t="s">
        <v>44442</v>
      </c>
      <c r="D91" t="s">
        <v>44438</v>
      </c>
      <c r="F91" s="6">
        <v>87</v>
      </c>
      <c r="G91" s="38" t="s">
        <v>44443</v>
      </c>
      <c r="H91" s="9">
        <v>43617</v>
      </c>
      <c r="I91" s="17" t="str">
        <f t="shared" si="3"/>
        <v>Jun-19</v>
      </c>
    </row>
    <row r="92" spans="3:9" x14ac:dyDescent="0.3">
      <c r="C92" s="6" t="s">
        <v>44444</v>
      </c>
      <c r="D92" t="s">
        <v>44438</v>
      </c>
      <c r="F92" s="6">
        <v>88</v>
      </c>
      <c r="G92" s="38" t="s">
        <v>44445</v>
      </c>
      <c r="H92" s="9">
        <v>43647</v>
      </c>
      <c r="I92" s="17" t="str">
        <f t="shared" si="3"/>
        <v>Jul-19</v>
      </c>
    </row>
    <row r="93" spans="3:9" x14ac:dyDescent="0.3">
      <c r="C93" s="6" t="s">
        <v>44446</v>
      </c>
      <c r="D93" t="s">
        <v>44438</v>
      </c>
      <c r="F93" s="6">
        <v>89</v>
      </c>
      <c r="G93" s="38" t="s">
        <v>44447</v>
      </c>
      <c r="H93" s="9">
        <v>43678</v>
      </c>
      <c r="I93" s="17" t="str">
        <f t="shared" si="3"/>
        <v>Aug-19</v>
      </c>
    </row>
    <row r="94" spans="3:9" x14ac:dyDescent="0.3">
      <c r="C94" s="6" t="s">
        <v>44448</v>
      </c>
      <c r="D94" t="s">
        <v>44438</v>
      </c>
      <c r="F94" s="6">
        <v>90</v>
      </c>
      <c r="G94" s="38" t="s">
        <v>44449</v>
      </c>
      <c r="H94" s="9">
        <v>43709</v>
      </c>
      <c r="I94" s="17" t="str">
        <f t="shared" si="3"/>
        <v>Sep-19</v>
      </c>
    </row>
    <row r="95" spans="3:9" x14ac:dyDescent="0.3">
      <c r="C95" s="6" t="s">
        <v>44450</v>
      </c>
      <c r="D95" t="s">
        <v>44438</v>
      </c>
      <c r="F95" s="6">
        <v>91</v>
      </c>
      <c r="G95" s="38" t="s">
        <v>44451</v>
      </c>
      <c r="H95" s="9">
        <v>43739</v>
      </c>
      <c r="I95" s="17" t="str">
        <f t="shared" si="3"/>
        <v>Oct-19</v>
      </c>
    </row>
    <row r="96" spans="3:9" x14ac:dyDescent="0.3">
      <c r="C96" s="6" t="s">
        <v>44452</v>
      </c>
      <c r="D96" t="s">
        <v>44438</v>
      </c>
      <c r="F96" s="6">
        <v>92</v>
      </c>
      <c r="G96" s="38" t="s">
        <v>44453</v>
      </c>
      <c r="H96" s="9">
        <v>43770</v>
      </c>
      <c r="I96" s="17" t="str">
        <f t="shared" si="3"/>
        <v>Nov-19</v>
      </c>
    </row>
    <row r="97" spans="3:9" x14ac:dyDescent="0.3">
      <c r="C97" s="6" t="s">
        <v>44454</v>
      </c>
      <c r="D97" t="s">
        <v>44438</v>
      </c>
      <c r="F97" s="6">
        <v>93</v>
      </c>
      <c r="G97" s="38" t="s">
        <v>44455</v>
      </c>
      <c r="H97" s="9">
        <v>43800</v>
      </c>
      <c r="I97" s="17" t="str">
        <f t="shared" si="3"/>
        <v>Dec-19</v>
      </c>
    </row>
    <row r="98" spans="3:9" x14ac:dyDescent="0.3">
      <c r="C98" s="6" t="s">
        <v>44456</v>
      </c>
      <c r="D98" t="s">
        <v>44438</v>
      </c>
      <c r="F98" s="6">
        <v>94</v>
      </c>
      <c r="G98" s="38" t="s">
        <v>44457</v>
      </c>
      <c r="H98" s="9">
        <v>43831</v>
      </c>
      <c r="I98" s="17" t="str">
        <f t="shared" si="3"/>
        <v>Jan-20</v>
      </c>
    </row>
    <row r="99" spans="3:9" x14ac:dyDescent="0.3">
      <c r="C99" s="6" t="s">
        <v>44458</v>
      </c>
      <c r="D99" t="s">
        <v>44438</v>
      </c>
      <c r="F99" s="6">
        <v>95</v>
      </c>
      <c r="G99" s="38" t="s">
        <v>44459</v>
      </c>
      <c r="H99" s="9">
        <v>43862</v>
      </c>
      <c r="I99" s="17" t="str">
        <f t="shared" si="3"/>
        <v>Feb-20</v>
      </c>
    </row>
    <row r="100" spans="3:9" x14ac:dyDescent="0.3">
      <c r="C100" s="6" t="s">
        <v>44460</v>
      </c>
      <c r="D100" t="s">
        <v>44438</v>
      </c>
      <c r="F100" s="6">
        <v>96</v>
      </c>
      <c r="G100" s="38" t="s">
        <v>44461</v>
      </c>
      <c r="H100" s="9">
        <v>43891</v>
      </c>
      <c r="I100" s="17" t="str">
        <f t="shared" si="3"/>
        <v>Mar-20</v>
      </c>
    </row>
    <row r="101" spans="3:9" x14ac:dyDescent="0.3">
      <c r="C101" s="6" t="s">
        <v>44462</v>
      </c>
      <c r="D101" t="s">
        <v>44438</v>
      </c>
      <c r="F101" s="6">
        <v>97</v>
      </c>
      <c r="G101" s="38" t="s">
        <v>44463</v>
      </c>
      <c r="H101" s="9">
        <v>43922</v>
      </c>
      <c r="I101" s="17" t="str">
        <f t="shared" si="3"/>
        <v>Apr-20</v>
      </c>
    </row>
    <row r="102" spans="3:9" x14ac:dyDescent="0.3">
      <c r="C102" s="6" t="s">
        <v>44464</v>
      </c>
      <c r="D102" t="s">
        <v>44438</v>
      </c>
      <c r="F102" s="6">
        <v>98</v>
      </c>
      <c r="G102" s="38" t="s">
        <v>44465</v>
      </c>
      <c r="H102" s="9">
        <v>43952</v>
      </c>
      <c r="I102" s="17" t="str">
        <f t="shared" si="3"/>
        <v>May-20</v>
      </c>
    </row>
    <row r="103" spans="3:9" x14ac:dyDescent="0.3">
      <c r="C103" s="6" t="s">
        <v>44466</v>
      </c>
      <c r="D103" t="s">
        <v>44438</v>
      </c>
      <c r="F103" s="6">
        <v>99</v>
      </c>
      <c r="G103" s="38" t="s">
        <v>44467</v>
      </c>
      <c r="H103" s="9">
        <v>43983</v>
      </c>
      <c r="I103" s="17" t="str">
        <f t="shared" si="3"/>
        <v>Jun-20</v>
      </c>
    </row>
    <row r="104" spans="3:9" x14ac:dyDescent="0.3">
      <c r="C104" s="6" t="s">
        <v>44468</v>
      </c>
      <c r="D104" t="s">
        <v>44438</v>
      </c>
      <c r="F104" s="6">
        <v>100</v>
      </c>
      <c r="G104" s="38" t="s">
        <v>44469</v>
      </c>
      <c r="H104" s="9">
        <v>44013</v>
      </c>
      <c r="I104" s="17" t="str">
        <f t="shared" si="3"/>
        <v>Jul-20</v>
      </c>
    </row>
    <row r="105" spans="3:9" x14ac:dyDescent="0.3">
      <c r="C105" s="6" t="s">
        <v>44470</v>
      </c>
      <c r="D105" t="s">
        <v>44438</v>
      </c>
      <c r="F105" s="6">
        <v>101</v>
      </c>
      <c r="G105" s="38" t="s">
        <v>44471</v>
      </c>
      <c r="H105" s="9">
        <v>44044</v>
      </c>
      <c r="I105" s="17" t="str">
        <f t="shared" si="3"/>
        <v>Aug-20</v>
      </c>
    </row>
    <row r="106" spans="3:9" x14ac:dyDescent="0.3">
      <c r="C106" s="6" t="s">
        <v>44472</v>
      </c>
      <c r="D106" t="s">
        <v>44438</v>
      </c>
      <c r="F106" s="6">
        <v>102</v>
      </c>
      <c r="G106" s="38" t="s">
        <v>44473</v>
      </c>
      <c r="H106" s="9">
        <v>44075</v>
      </c>
      <c r="I106" s="17" t="str">
        <f t="shared" si="3"/>
        <v>Sep-20</v>
      </c>
    </row>
    <row r="107" spans="3:9" x14ac:dyDescent="0.3">
      <c r="C107" s="6" t="s">
        <v>44474</v>
      </c>
      <c r="D107" t="s">
        <v>44438</v>
      </c>
      <c r="F107" s="6">
        <v>103</v>
      </c>
      <c r="G107" s="38" t="s">
        <v>44475</v>
      </c>
      <c r="H107" s="9">
        <v>44105</v>
      </c>
      <c r="I107" s="17" t="str">
        <f t="shared" si="3"/>
        <v>Oct-20</v>
      </c>
    </row>
    <row r="108" spans="3:9" x14ac:dyDescent="0.3">
      <c r="C108" s="6" t="s">
        <v>44476</v>
      </c>
      <c r="D108" t="s">
        <v>44438</v>
      </c>
      <c r="F108" s="6">
        <v>104</v>
      </c>
      <c r="G108" s="38" t="s">
        <v>44477</v>
      </c>
      <c r="H108" s="9">
        <v>44136</v>
      </c>
      <c r="I108" s="17" t="str">
        <f t="shared" si="3"/>
        <v>Nov-20</v>
      </c>
    </row>
    <row r="109" spans="3:9" x14ac:dyDescent="0.3">
      <c r="C109" s="6" t="s">
        <v>44478</v>
      </c>
      <c r="D109" t="s">
        <v>44438</v>
      </c>
      <c r="F109" s="6">
        <v>105</v>
      </c>
      <c r="G109" s="38" t="s">
        <v>44479</v>
      </c>
      <c r="H109" s="9">
        <v>44166</v>
      </c>
      <c r="I109" s="17" t="str">
        <f t="shared" si="3"/>
        <v>Dec-20</v>
      </c>
    </row>
    <row r="110" spans="3:9" x14ac:dyDescent="0.3">
      <c r="C110" s="6" t="s">
        <v>44480</v>
      </c>
      <c r="D110" t="s">
        <v>44438</v>
      </c>
      <c r="F110" s="6">
        <v>106</v>
      </c>
      <c r="G110" s="38" t="s">
        <v>44481</v>
      </c>
      <c r="H110" s="9">
        <v>44197</v>
      </c>
      <c r="I110" s="17" t="str">
        <f t="shared" si="3"/>
        <v>Jan-21</v>
      </c>
    </row>
    <row r="111" spans="3:9" x14ac:dyDescent="0.3">
      <c r="C111" s="6" t="s">
        <v>44482</v>
      </c>
      <c r="D111" t="s">
        <v>44438</v>
      </c>
      <c r="F111" s="6">
        <v>107</v>
      </c>
      <c r="G111" s="38" t="s">
        <v>44483</v>
      </c>
      <c r="H111" s="9">
        <v>44228</v>
      </c>
      <c r="I111" s="17" t="str">
        <f t="shared" si="3"/>
        <v>Feb-21</v>
      </c>
    </row>
    <row r="112" spans="3:9" x14ac:dyDescent="0.3">
      <c r="C112" s="6" t="s">
        <v>44484</v>
      </c>
      <c r="D112" t="s">
        <v>44438</v>
      </c>
      <c r="F112" s="6">
        <v>108</v>
      </c>
      <c r="G112" s="38" t="s">
        <v>44485</v>
      </c>
      <c r="H112" s="9">
        <v>44256</v>
      </c>
      <c r="I112" s="17" t="str">
        <f t="shared" si="3"/>
        <v>Mar-21</v>
      </c>
    </row>
    <row r="113" spans="3:9" x14ac:dyDescent="0.3">
      <c r="C113" s="6" t="s">
        <v>44486</v>
      </c>
      <c r="D113" t="s">
        <v>44438</v>
      </c>
      <c r="F113" s="6">
        <v>109</v>
      </c>
      <c r="G113" s="38" t="s">
        <v>44487</v>
      </c>
      <c r="H113" s="9">
        <v>44287</v>
      </c>
      <c r="I113" s="17" t="str">
        <f t="shared" si="3"/>
        <v>Apr-21</v>
      </c>
    </row>
    <row r="114" spans="3:9" x14ac:dyDescent="0.3">
      <c r="C114" s="6" t="s">
        <v>44488</v>
      </c>
      <c r="F114" s="6">
        <v>110</v>
      </c>
      <c r="G114" s="38" t="s">
        <v>44489</v>
      </c>
      <c r="H114" s="9">
        <v>44317</v>
      </c>
      <c r="I114" s="17" t="str">
        <f t="shared" si="3"/>
        <v>May-21</v>
      </c>
    </row>
    <row r="115" spans="3:9" x14ac:dyDescent="0.3">
      <c r="C115" s="6" t="s">
        <v>44490</v>
      </c>
      <c r="F115" s="6">
        <v>111</v>
      </c>
      <c r="G115" s="38" t="s">
        <v>44491</v>
      </c>
      <c r="H115" s="9">
        <v>44348</v>
      </c>
      <c r="I115" s="17" t="str">
        <f t="shared" si="3"/>
        <v>Jun-21</v>
      </c>
    </row>
    <row r="116" spans="3:9" x14ac:dyDescent="0.3">
      <c r="C116" s="6" t="s">
        <v>44492</v>
      </c>
      <c r="F116" s="6">
        <v>112</v>
      </c>
      <c r="G116" s="38" t="s">
        <v>44493</v>
      </c>
      <c r="H116" s="9">
        <v>44378</v>
      </c>
      <c r="I116" s="17" t="str">
        <f t="shared" si="3"/>
        <v>Jul-21</v>
      </c>
    </row>
    <row r="117" spans="3:9" x14ac:dyDescent="0.3">
      <c r="C117" s="6" t="s">
        <v>44494</v>
      </c>
      <c r="F117" s="6">
        <v>113</v>
      </c>
      <c r="G117" s="38" t="s">
        <v>44495</v>
      </c>
      <c r="H117" s="9">
        <v>44409</v>
      </c>
      <c r="I117" s="17" t="str">
        <f t="shared" si="3"/>
        <v>Aug-21</v>
      </c>
    </row>
    <row r="118" spans="3:9" x14ac:dyDescent="0.3">
      <c r="C118" s="6" t="s">
        <v>44496</v>
      </c>
      <c r="F118" s="6">
        <v>114</v>
      </c>
      <c r="G118" s="38" t="s">
        <v>44497</v>
      </c>
      <c r="H118" s="9">
        <v>44440</v>
      </c>
      <c r="I118" s="17" t="str">
        <f t="shared" si="3"/>
        <v>Sep-21</v>
      </c>
    </row>
    <row r="119" spans="3:9" x14ac:dyDescent="0.3">
      <c r="C119" s="6" t="s">
        <v>44498</v>
      </c>
      <c r="F119" s="6">
        <v>115</v>
      </c>
      <c r="G119" s="38" t="s">
        <v>44499</v>
      </c>
      <c r="H119" s="9">
        <v>44470</v>
      </c>
      <c r="I119" s="17" t="str">
        <f t="shared" si="3"/>
        <v>Oct-21</v>
      </c>
    </row>
    <row r="120" spans="3:9" x14ac:dyDescent="0.3">
      <c r="C120" s="6" t="s">
        <v>44500</v>
      </c>
      <c r="F120" s="6">
        <v>116</v>
      </c>
      <c r="G120" s="38" t="s">
        <v>44501</v>
      </c>
      <c r="H120" s="9">
        <v>44501</v>
      </c>
      <c r="I120" s="17" t="str">
        <f t="shared" si="3"/>
        <v>Nov-21</v>
      </c>
    </row>
    <row r="121" spans="3:9" x14ac:dyDescent="0.3">
      <c r="C121" s="6" t="s">
        <v>44502</v>
      </c>
      <c r="F121" s="6">
        <v>117</v>
      </c>
      <c r="G121" s="38" t="s">
        <v>44503</v>
      </c>
      <c r="H121" s="9">
        <v>44531</v>
      </c>
      <c r="I121" s="17" t="str">
        <f t="shared" si="3"/>
        <v>Dec-21</v>
      </c>
    </row>
    <row r="122" spans="3:9" x14ac:dyDescent="0.3">
      <c r="C122" s="6" t="s">
        <v>44504</v>
      </c>
      <c r="F122" s="6">
        <v>118</v>
      </c>
      <c r="G122" s="38" t="s">
        <v>44505</v>
      </c>
      <c r="H122" s="9">
        <v>44562</v>
      </c>
      <c r="I122" s="17" t="str">
        <f t="shared" si="3"/>
        <v>Jan-22</v>
      </c>
    </row>
    <row r="123" spans="3:9" x14ac:dyDescent="0.3">
      <c r="C123" s="6" t="s">
        <v>44506</v>
      </c>
      <c r="F123" s="6">
        <v>119</v>
      </c>
      <c r="G123" s="38" t="s">
        <v>44507</v>
      </c>
      <c r="H123" s="9">
        <v>44593</v>
      </c>
      <c r="I123" s="17" t="str">
        <f t="shared" si="3"/>
        <v>Feb-22</v>
      </c>
    </row>
    <row r="124" spans="3:9" x14ac:dyDescent="0.3">
      <c r="C124" s="6" t="s">
        <v>44508</v>
      </c>
      <c r="D124" t="s">
        <v>44509</v>
      </c>
      <c r="F124" s="6">
        <v>120</v>
      </c>
      <c r="G124" s="38" t="s">
        <v>44510</v>
      </c>
      <c r="H124" s="9">
        <v>44621</v>
      </c>
      <c r="I124" s="17" t="str">
        <f t="shared" si="3"/>
        <v>Mar-22</v>
      </c>
    </row>
    <row r="125" spans="3:9" x14ac:dyDescent="0.3">
      <c r="C125" s="6" t="s">
        <v>44511</v>
      </c>
      <c r="D125" t="s">
        <v>44228</v>
      </c>
      <c r="F125" s="6">
        <v>121</v>
      </c>
      <c r="G125" s="38" t="s">
        <v>44512</v>
      </c>
      <c r="H125" s="9">
        <v>44652</v>
      </c>
      <c r="I125" s="17" t="str">
        <f t="shared" si="3"/>
        <v>Apr-22</v>
      </c>
    </row>
    <row r="126" spans="3:9" x14ac:dyDescent="0.3">
      <c r="C126" s="6" t="s">
        <v>44513</v>
      </c>
      <c r="D126" t="s">
        <v>44244</v>
      </c>
      <c r="F126" s="6">
        <v>122</v>
      </c>
      <c r="G126" s="38" t="s">
        <v>44514</v>
      </c>
      <c r="H126" s="9">
        <v>44682</v>
      </c>
      <c r="I126" s="17" t="str">
        <f t="shared" si="3"/>
        <v>May-22</v>
      </c>
    </row>
    <row r="127" spans="3:9" x14ac:dyDescent="0.3">
      <c r="C127" s="6" t="s">
        <v>44515</v>
      </c>
      <c r="D127" t="s">
        <v>44256</v>
      </c>
      <c r="F127" s="6">
        <v>123</v>
      </c>
      <c r="G127" s="38" t="s">
        <v>44516</v>
      </c>
      <c r="H127" s="9">
        <v>44713</v>
      </c>
      <c r="I127" s="17" t="str">
        <f t="shared" si="3"/>
        <v>Jun-22</v>
      </c>
    </row>
    <row r="128" spans="3:9" x14ac:dyDescent="0.3">
      <c r="C128" s="6" t="s">
        <v>44517</v>
      </c>
      <c r="D128" t="s">
        <v>44260</v>
      </c>
      <c r="F128" s="6">
        <v>124</v>
      </c>
      <c r="G128" s="38" t="s">
        <v>44518</v>
      </c>
      <c r="H128" s="9">
        <v>44743</v>
      </c>
      <c r="I128" s="17" t="str">
        <f t="shared" si="3"/>
        <v>Jul-22</v>
      </c>
    </row>
    <row r="129" spans="3:9" x14ac:dyDescent="0.3">
      <c r="C129" s="6" t="s">
        <v>44519</v>
      </c>
      <c r="D129" t="s">
        <v>44275</v>
      </c>
      <c r="F129" s="6">
        <v>125</v>
      </c>
      <c r="G129" s="38" t="s">
        <v>44520</v>
      </c>
      <c r="H129" s="9">
        <v>44774</v>
      </c>
      <c r="I129" s="17" t="str">
        <f t="shared" si="3"/>
        <v>Aug-22</v>
      </c>
    </row>
    <row r="130" spans="3:9" x14ac:dyDescent="0.3">
      <c r="C130" s="6" t="s">
        <v>44521</v>
      </c>
      <c r="D130" t="s">
        <v>44351</v>
      </c>
      <c r="F130" s="6">
        <v>126</v>
      </c>
      <c r="G130" s="38" t="s">
        <v>14</v>
      </c>
      <c r="H130" s="9">
        <v>44805</v>
      </c>
      <c r="I130" s="17" t="str">
        <f t="shared" si="3"/>
        <v>Sep-22</v>
      </c>
    </row>
    <row r="131" spans="3:9" x14ac:dyDescent="0.3">
      <c r="C131" s="6" t="s">
        <v>44522</v>
      </c>
      <c r="D131" t="s">
        <v>44300</v>
      </c>
      <c r="F131" s="6">
        <v>127</v>
      </c>
      <c r="G131" s="38" t="s">
        <v>44523</v>
      </c>
      <c r="H131" s="9">
        <v>44835</v>
      </c>
      <c r="I131" s="17" t="str">
        <f t="shared" si="3"/>
        <v>Oct-22</v>
      </c>
    </row>
    <row r="132" spans="3:9" x14ac:dyDescent="0.3">
      <c r="C132" s="6" t="s">
        <v>44524</v>
      </c>
      <c r="D132" t="s">
        <v>44356</v>
      </c>
      <c r="F132" s="6">
        <v>128</v>
      </c>
      <c r="G132" s="38" t="s">
        <v>44525</v>
      </c>
      <c r="H132" s="9">
        <v>44866</v>
      </c>
      <c r="I132" s="17" t="str">
        <f t="shared" si="3"/>
        <v>Nov-22</v>
      </c>
    </row>
    <row r="133" spans="3:9" x14ac:dyDescent="0.3">
      <c r="C133" s="6" t="s">
        <v>44526</v>
      </c>
      <c r="D133" t="s">
        <v>44438</v>
      </c>
      <c r="F133" s="6">
        <v>129</v>
      </c>
      <c r="G133" s="38" t="s">
        <v>44527</v>
      </c>
      <c r="H133" s="9">
        <v>44896</v>
      </c>
      <c r="I133" s="17" t="str">
        <f t="shared" si="3"/>
        <v>Dec-22</v>
      </c>
    </row>
    <row r="134" spans="3:9" x14ac:dyDescent="0.3">
      <c r="C134" s="6" t="s">
        <v>44528</v>
      </c>
      <c r="D134" t="s">
        <v>44438</v>
      </c>
      <c r="F134" s="6">
        <v>130</v>
      </c>
      <c r="G134" s="38" t="s">
        <v>44529</v>
      </c>
      <c r="H134" s="9">
        <v>44927</v>
      </c>
      <c r="I134" s="17" t="str">
        <f t="shared" si="3"/>
        <v>Jan-23</v>
      </c>
    </row>
    <row r="135" spans="3:9" x14ac:dyDescent="0.3">
      <c r="C135" s="6" t="s">
        <v>44530</v>
      </c>
      <c r="D135" t="s">
        <v>44438</v>
      </c>
      <c r="F135" s="6">
        <v>131</v>
      </c>
      <c r="G135" s="38" t="s">
        <v>44531</v>
      </c>
      <c r="H135" s="9">
        <v>44958</v>
      </c>
      <c r="I135" s="17" t="str">
        <f t="shared" si="3"/>
        <v>Feb-23</v>
      </c>
    </row>
    <row r="136" spans="3:9" x14ac:dyDescent="0.3">
      <c r="C136" s="6" t="s">
        <v>44532</v>
      </c>
      <c r="D136" t="s">
        <v>44438</v>
      </c>
      <c r="F136" s="6">
        <v>132</v>
      </c>
      <c r="G136" s="38" t="s">
        <v>44533</v>
      </c>
      <c r="H136" s="9">
        <v>44986</v>
      </c>
      <c r="I136" s="17" t="str">
        <f t="shared" si="3"/>
        <v>Mar-23</v>
      </c>
    </row>
    <row r="137" spans="3:9" x14ac:dyDescent="0.3">
      <c r="C137" s="6" t="s">
        <v>44534</v>
      </c>
      <c r="D137" t="s">
        <v>44438</v>
      </c>
      <c r="F137" s="6">
        <v>133</v>
      </c>
      <c r="G137" s="38" t="s">
        <v>44535</v>
      </c>
      <c r="H137" s="9">
        <v>45017</v>
      </c>
      <c r="I137" s="17" t="str">
        <f t="shared" si="3"/>
        <v>Apr-23</v>
      </c>
    </row>
    <row r="138" spans="3:9" x14ac:dyDescent="0.3">
      <c r="C138" s="6" t="s">
        <v>44536</v>
      </c>
      <c r="D138" t="s">
        <v>44438</v>
      </c>
      <c r="F138" s="6">
        <v>134</v>
      </c>
      <c r="G138" s="38" t="s">
        <v>44537</v>
      </c>
      <c r="H138" s="9">
        <v>45047</v>
      </c>
      <c r="I138" s="17" t="str">
        <f t="shared" si="3"/>
        <v>May-23</v>
      </c>
    </row>
    <row r="139" spans="3:9" x14ac:dyDescent="0.3">
      <c r="C139" s="6" t="s">
        <v>44538</v>
      </c>
      <c r="D139" t="s">
        <v>44438</v>
      </c>
      <c r="F139" s="6">
        <v>135</v>
      </c>
      <c r="G139" s="38" t="s">
        <v>44539</v>
      </c>
      <c r="H139" s="9">
        <v>45078</v>
      </c>
      <c r="I139" s="17" t="str">
        <f t="shared" si="3"/>
        <v>Jun-23</v>
      </c>
    </row>
    <row r="140" spans="3:9" x14ac:dyDescent="0.3">
      <c r="C140" s="6" t="s">
        <v>44540</v>
      </c>
      <c r="D140" t="s">
        <v>44438</v>
      </c>
      <c r="F140" s="6">
        <v>136</v>
      </c>
      <c r="G140" s="38" t="s">
        <v>44541</v>
      </c>
      <c r="H140" s="9">
        <v>45108</v>
      </c>
      <c r="I140" s="17" t="str">
        <f t="shared" si="3"/>
        <v>Jul-23</v>
      </c>
    </row>
    <row r="141" spans="3:9" x14ac:dyDescent="0.3">
      <c r="C141" s="6" t="s">
        <v>44542</v>
      </c>
      <c r="D141" t="s">
        <v>44438</v>
      </c>
      <c r="F141" s="6">
        <v>137</v>
      </c>
      <c r="G141" s="38" t="s">
        <v>15</v>
      </c>
      <c r="H141" s="9">
        <v>45139</v>
      </c>
      <c r="I141" s="17" t="str">
        <f t="shared" si="3"/>
        <v>Aug-23</v>
      </c>
    </row>
    <row r="142" spans="3:9" x14ac:dyDescent="0.3">
      <c r="C142" s="6" t="s">
        <v>44543</v>
      </c>
      <c r="D142" t="s">
        <v>44438</v>
      </c>
      <c r="F142" s="6">
        <v>138</v>
      </c>
      <c r="G142" s="38" t="s">
        <v>11</v>
      </c>
      <c r="H142" s="9">
        <v>45170</v>
      </c>
      <c r="I142" s="17" t="str">
        <f t="shared" si="3"/>
        <v>Sep-23</v>
      </c>
    </row>
    <row r="143" spans="3:9" x14ac:dyDescent="0.3">
      <c r="C143" s="6" t="s">
        <v>44544</v>
      </c>
      <c r="D143" t="s">
        <v>44438</v>
      </c>
      <c r="F143" s="6">
        <v>139</v>
      </c>
      <c r="G143" s="38" t="s">
        <v>44545</v>
      </c>
      <c r="H143" s="9">
        <v>45200</v>
      </c>
      <c r="I143" s="17" t="str">
        <f t="shared" si="3"/>
        <v>Oct-23</v>
      </c>
    </row>
    <row r="144" spans="3:9" x14ac:dyDescent="0.3">
      <c r="C144" s="6" t="s">
        <v>44546</v>
      </c>
      <c r="D144" t="s">
        <v>44438</v>
      </c>
      <c r="F144" s="6">
        <v>140</v>
      </c>
      <c r="G144" s="38" t="s">
        <v>44547</v>
      </c>
      <c r="H144" s="9">
        <v>45231</v>
      </c>
      <c r="I144" s="17" t="str">
        <f t="shared" si="3"/>
        <v>Nov-23</v>
      </c>
    </row>
    <row r="145" spans="3:9" x14ac:dyDescent="0.3">
      <c r="C145" s="6" t="s">
        <v>44548</v>
      </c>
      <c r="D145" t="s">
        <v>44438</v>
      </c>
      <c r="F145" s="6">
        <v>141</v>
      </c>
      <c r="G145" s="38" t="s">
        <v>44549</v>
      </c>
      <c r="H145" s="9">
        <v>45261</v>
      </c>
      <c r="I145" s="17" t="str">
        <f t="shared" si="3"/>
        <v>Dec-23</v>
      </c>
    </row>
    <row r="146" spans="3:9" x14ac:dyDescent="0.3">
      <c r="C146" s="6" t="s">
        <v>44550</v>
      </c>
      <c r="D146" t="s">
        <v>44438</v>
      </c>
      <c r="F146" s="6">
        <v>142</v>
      </c>
      <c r="G146" s="38" t="s">
        <v>44551</v>
      </c>
      <c r="H146" s="9">
        <v>45292</v>
      </c>
      <c r="I146" s="17" t="str">
        <f t="shared" si="3"/>
        <v>Jan-24</v>
      </c>
    </row>
    <row r="147" spans="3:9" x14ac:dyDescent="0.3">
      <c r="C147" s="6" t="s">
        <v>44552</v>
      </c>
      <c r="D147" t="s">
        <v>44438</v>
      </c>
      <c r="F147" s="6">
        <v>143</v>
      </c>
      <c r="G147" s="38" t="s">
        <v>44553</v>
      </c>
      <c r="H147" s="9">
        <v>45323</v>
      </c>
      <c r="I147" s="17" t="str">
        <f t="shared" ref="I147:I169" si="4">G147</f>
        <v>Feb-24</v>
      </c>
    </row>
    <row r="148" spans="3:9" x14ac:dyDescent="0.3">
      <c r="C148" s="6" t="s">
        <v>44554</v>
      </c>
      <c r="D148" t="s">
        <v>44438</v>
      </c>
      <c r="F148" s="6">
        <v>144</v>
      </c>
      <c r="G148" s="38" t="s">
        <v>44555</v>
      </c>
      <c r="H148" s="9">
        <v>45352</v>
      </c>
      <c r="I148" s="17" t="str">
        <f t="shared" si="4"/>
        <v>Mar-24</v>
      </c>
    </row>
    <row r="149" spans="3:9" x14ac:dyDescent="0.3">
      <c r="C149" s="6" t="s">
        <v>44556</v>
      </c>
      <c r="D149" t="s">
        <v>44438</v>
      </c>
      <c r="F149" s="6">
        <v>145</v>
      </c>
      <c r="G149" s="38" t="s">
        <v>44557</v>
      </c>
      <c r="H149" s="9">
        <v>45383</v>
      </c>
      <c r="I149" s="17" t="str">
        <f t="shared" si="4"/>
        <v>Apr-24</v>
      </c>
    </row>
    <row r="150" spans="3:9" x14ac:dyDescent="0.3">
      <c r="C150" s="6" t="s">
        <v>44558</v>
      </c>
      <c r="D150" t="s">
        <v>44438</v>
      </c>
      <c r="F150" s="6">
        <v>146</v>
      </c>
      <c r="G150" s="38" t="s">
        <v>44559</v>
      </c>
      <c r="H150" s="9">
        <v>45413</v>
      </c>
      <c r="I150" s="17" t="str">
        <f t="shared" si="4"/>
        <v>May-24</v>
      </c>
    </row>
    <row r="151" spans="3:9" x14ac:dyDescent="0.3">
      <c r="C151" s="6" t="s">
        <v>44560</v>
      </c>
      <c r="D151" t="s">
        <v>44438</v>
      </c>
      <c r="F151" s="6">
        <v>147</v>
      </c>
      <c r="G151" s="38" t="s">
        <v>44561</v>
      </c>
      <c r="H151" s="9">
        <v>45444</v>
      </c>
      <c r="I151" s="17" t="str">
        <f t="shared" si="4"/>
        <v>Jun-24</v>
      </c>
    </row>
    <row r="152" spans="3:9" x14ac:dyDescent="0.3">
      <c r="C152" s="6" t="s">
        <v>44562</v>
      </c>
      <c r="D152" t="s">
        <v>44438</v>
      </c>
      <c r="F152" s="6">
        <v>148</v>
      </c>
      <c r="G152" s="38" t="s">
        <v>44563</v>
      </c>
      <c r="H152" s="9">
        <v>45474</v>
      </c>
      <c r="I152" s="17" t="str">
        <f t="shared" si="4"/>
        <v>Jul-24</v>
      </c>
    </row>
    <row r="153" spans="3:9" x14ac:dyDescent="0.3">
      <c r="C153" s="6" t="s">
        <v>44564</v>
      </c>
      <c r="D153" t="s">
        <v>44438</v>
      </c>
      <c r="F153" s="6">
        <v>149</v>
      </c>
      <c r="G153" s="38" t="s">
        <v>13</v>
      </c>
      <c r="H153" s="9">
        <v>45505</v>
      </c>
      <c r="I153" s="17" t="str">
        <f t="shared" si="4"/>
        <v>Aug-24</v>
      </c>
    </row>
    <row r="154" spans="3:9" x14ac:dyDescent="0.3">
      <c r="C154" s="6" t="s">
        <v>44565</v>
      </c>
      <c r="F154" s="6">
        <v>150</v>
      </c>
      <c r="G154" s="38" t="s">
        <v>44566</v>
      </c>
      <c r="H154" s="9">
        <v>45536</v>
      </c>
      <c r="I154" s="17" t="str">
        <f t="shared" si="4"/>
        <v>Sep-24</v>
      </c>
    </row>
    <row r="155" spans="3:9" x14ac:dyDescent="0.3">
      <c r="C155" s="6" t="s">
        <v>44567</v>
      </c>
      <c r="F155" s="6">
        <v>151</v>
      </c>
      <c r="G155" s="38" t="s">
        <v>44568</v>
      </c>
      <c r="H155" s="9">
        <v>45566</v>
      </c>
      <c r="I155" s="17" t="str">
        <f t="shared" si="4"/>
        <v>Oct-24</v>
      </c>
    </row>
    <row r="156" spans="3:9" x14ac:dyDescent="0.3">
      <c r="C156" s="6" t="s">
        <v>44569</v>
      </c>
      <c r="F156" s="6">
        <v>152</v>
      </c>
      <c r="G156" s="38" t="s">
        <v>44570</v>
      </c>
      <c r="H156" s="9">
        <v>45597</v>
      </c>
      <c r="I156" s="17" t="str">
        <f t="shared" si="4"/>
        <v>Nov-24</v>
      </c>
    </row>
    <row r="157" spans="3:9" x14ac:dyDescent="0.3">
      <c r="C157" s="6" t="s">
        <v>44571</v>
      </c>
      <c r="F157" s="6">
        <v>153</v>
      </c>
      <c r="G157" s="38" t="s">
        <v>44572</v>
      </c>
      <c r="H157" s="9">
        <v>45627</v>
      </c>
      <c r="I157" s="17" t="str">
        <f t="shared" si="4"/>
        <v>Dec-24</v>
      </c>
    </row>
    <row r="158" spans="3:9" x14ac:dyDescent="0.3">
      <c r="C158" s="6" t="s">
        <v>44573</v>
      </c>
      <c r="F158" s="6">
        <v>154</v>
      </c>
      <c r="G158" s="38" t="s">
        <v>44574</v>
      </c>
      <c r="H158" s="9">
        <v>45658</v>
      </c>
      <c r="I158" s="17" t="str">
        <f t="shared" si="4"/>
        <v>Jan-25</v>
      </c>
    </row>
    <row r="159" spans="3:9" x14ac:dyDescent="0.3">
      <c r="C159" s="6" t="s">
        <v>44575</v>
      </c>
      <c r="F159" s="6">
        <v>155</v>
      </c>
      <c r="G159" s="38" t="s">
        <v>44576</v>
      </c>
      <c r="H159" s="9">
        <v>45689</v>
      </c>
      <c r="I159" s="17" t="str">
        <f t="shared" si="4"/>
        <v>Feb-25</v>
      </c>
    </row>
    <row r="160" spans="3:9" x14ac:dyDescent="0.3">
      <c r="C160" s="6" t="s">
        <v>44577</v>
      </c>
      <c r="F160" s="6">
        <v>156</v>
      </c>
      <c r="G160" s="38" t="s">
        <v>44578</v>
      </c>
      <c r="H160" s="9">
        <v>45717</v>
      </c>
      <c r="I160" s="17" t="str">
        <f t="shared" si="4"/>
        <v>Mar-25</v>
      </c>
    </row>
    <row r="161" spans="3:9" x14ac:dyDescent="0.3">
      <c r="C161" s="6" t="s">
        <v>44579</v>
      </c>
      <c r="F161" s="6">
        <v>157</v>
      </c>
      <c r="G161" s="38" t="s">
        <v>44580</v>
      </c>
      <c r="H161" s="9">
        <v>45748</v>
      </c>
      <c r="I161" s="17" t="str">
        <f t="shared" si="4"/>
        <v>Apr-25</v>
      </c>
    </row>
    <row r="162" spans="3:9" x14ac:dyDescent="0.3">
      <c r="C162" s="6" t="s">
        <v>44581</v>
      </c>
      <c r="F162" s="6">
        <v>158</v>
      </c>
      <c r="G162" s="38" t="s">
        <v>44582</v>
      </c>
      <c r="H162" s="9">
        <v>45778</v>
      </c>
      <c r="I162" s="17" t="str">
        <f t="shared" si="4"/>
        <v>May-25</v>
      </c>
    </row>
    <row r="163" spans="3:9" x14ac:dyDescent="0.3">
      <c r="C163" s="6" t="s">
        <v>44583</v>
      </c>
      <c r="F163" s="6">
        <v>159</v>
      </c>
      <c r="G163" s="38" t="s">
        <v>44584</v>
      </c>
      <c r="H163" s="9">
        <v>45809</v>
      </c>
      <c r="I163" s="17" t="str">
        <f t="shared" si="4"/>
        <v>Jun-25</v>
      </c>
    </row>
    <row r="164" spans="3:9" x14ac:dyDescent="0.3">
      <c r="C164" s="6" t="s">
        <v>44585</v>
      </c>
      <c r="D164" t="s">
        <v>44586</v>
      </c>
      <c r="F164" s="6">
        <v>160</v>
      </c>
      <c r="G164" s="38" t="s">
        <v>44587</v>
      </c>
      <c r="H164" s="9">
        <v>45839</v>
      </c>
      <c r="I164" s="17" t="str">
        <f t="shared" si="4"/>
        <v>Jul-25</v>
      </c>
    </row>
    <row r="165" spans="3:9" x14ac:dyDescent="0.3">
      <c r="C165" s="6" t="s">
        <v>44588</v>
      </c>
      <c r="D165" t="s">
        <v>44232</v>
      </c>
      <c r="F165" s="6">
        <v>161</v>
      </c>
      <c r="G165" s="38" t="s">
        <v>44589</v>
      </c>
      <c r="H165" s="9">
        <v>45870</v>
      </c>
      <c r="I165" s="17" t="str">
        <f t="shared" si="4"/>
        <v>Aug-25</v>
      </c>
    </row>
    <row r="166" spans="3:9" x14ac:dyDescent="0.3">
      <c r="C166" s="6" t="s">
        <v>44590</v>
      </c>
      <c r="D166" t="s">
        <v>44236</v>
      </c>
      <c r="F166" s="6">
        <v>162</v>
      </c>
      <c r="G166" s="38" t="s">
        <v>44591</v>
      </c>
      <c r="H166" s="9">
        <v>45901</v>
      </c>
      <c r="I166" s="17" t="str">
        <f t="shared" si="4"/>
        <v>Sep-25</v>
      </c>
    </row>
    <row r="167" spans="3:9" x14ac:dyDescent="0.3">
      <c r="C167" s="6" t="s">
        <v>44592</v>
      </c>
      <c r="D167" t="s">
        <v>44244</v>
      </c>
      <c r="F167" s="6">
        <v>163</v>
      </c>
      <c r="G167" s="38" t="s">
        <v>44593</v>
      </c>
      <c r="H167" s="9">
        <v>45931</v>
      </c>
      <c r="I167" s="17" t="str">
        <f t="shared" si="4"/>
        <v>Oct-25</v>
      </c>
    </row>
    <row r="168" spans="3:9" x14ac:dyDescent="0.3">
      <c r="C168" s="6" t="s">
        <v>44594</v>
      </c>
      <c r="D168" t="s">
        <v>44256</v>
      </c>
      <c r="F168" s="6">
        <v>164</v>
      </c>
      <c r="G168" s="38" t="s">
        <v>44595</v>
      </c>
      <c r="H168" s="9">
        <v>45962</v>
      </c>
      <c r="I168" s="17" t="str">
        <f t="shared" si="4"/>
        <v>Nov-25</v>
      </c>
    </row>
    <row r="169" spans="3:9" x14ac:dyDescent="0.3">
      <c r="C169" s="6" t="s">
        <v>44596</v>
      </c>
      <c r="D169" t="s">
        <v>44260</v>
      </c>
      <c r="F169" s="6">
        <v>165</v>
      </c>
      <c r="G169" s="38" t="s">
        <v>44597</v>
      </c>
      <c r="H169" s="9">
        <v>45992</v>
      </c>
      <c r="I169" s="17" t="str">
        <f t="shared" si="4"/>
        <v>Dec-25</v>
      </c>
    </row>
    <row r="170" spans="3:9" x14ac:dyDescent="0.3">
      <c r="C170" s="6" t="s">
        <v>44598</v>
      </c>
      <c r="D170" t="s">
        <v>44272</v>
      </c>
      <c r="F170" s="6"/>
    </row>
    <row r="171" spans="3:9" x14ac:dyDescent="0.3">
      <c r="C171" s="6" t="s">
        <v>44599</v>
      </c>
      <c r="D171" t="s">
        <v>44303</v>
      </c>
    </row>
    <row r="172" spans="3:9" x14ac:dyDescent="0.3">
      <c r="C172" s="6" t="s">
        <v>44600</v>
      </c>
      <c r="D172" t="s">
        <v>44438</v>
      </c>
    </row>
    <row r="173" spans="3:9" x14ac:dyDescent="0.3">
      <c r="C173" s="6" t="s">
        <v>44601</v>
      </c>
      <c r="D173" t="s">
        <v>44438</v>
      </c>
    </row>
    <row r="174" spans="3:9" x14ac:dyDescent="0.3">
      <c r="C174" s="6" t="s">
        <v>44602</v>
      </c>
      <c r="D174" t="s">
        <v>44438</v>
      </c>
    </row>
    <row r="175" spans="3:9" x14ac:dyDescent="0.3">
      <c r="C175" s="6" t="s">
        <v>44603</v>
      </c>
      <c r="D175" t="s">
        <v>44438</v>
      </c>
    </row>
    <row r="176" spans="3:9" x14ac:dyDescent="0.3">
      <c r="C176" s="6" t="s">
        <v>44604</v>
      </c>
      <c r="D176" t="s">
        <v>44438</v>
      </c>
    </row>
    <row r="177" spans="3:4" x14ac:dyDescent="0.3">
      <c r="C177" s="6" t="s">
        <v>44605</v>
      </c>
      <c r="D177" t="s">
        <v>44438</v>
      </c>
    </row>
    <row r="178" spans="3:4" x14ac:dyDescent="0.3">
      <c r="C178" s="6" t="s">
        <v>44606</v>
      </c>
      <c r="D178" t="s">
        <v>44438</v>
      </c>
    </row>
    <row r="179" spans="3:4" x14ac:dyDescent="0.3">
      <c r="C179" s="6" t="s">
        <v>44607</v>
      </c>
      <c r="D179" t="s">
        <v>44438</v>
      </c>
    </row>
    <row r="180" spans="3:4" x14ac:dyDescent="0.3">
      <c r="C180" s="6" t="s">
        <v>44608</v>
      </c>
      <c r="D180" t="s">
        <v>44438</v>
      </c>
    </row>
    <row r="181" spans="3:4" x14ac:dyDescent="0.3">
      <c r="C181" s="6" t="s">
        <v>44609</v>
      </c>
      <c r="D181" t="s">
        <v>44438</v>
      </c>
    </row>
    <row r="182" spans="3:4" x14ac:dyDescent="0.3">
      <c r="C182" s="6" t="s">
        <v>44610</v>
      </c>
      <c r="D182" t="s">
        <v>44438</v>
      </c>
    </row>
    <row r="183" spans="3:4" x14ac:dyDescent="0.3">
      <c r="C183" s="6" t="s">
        <v>44611</v>
      </c>
      <c r="D183" t="s">
        <v>44438</v>
      </c>
    </row>
    <row r="184" spans="3:4" x14ac:dyDescent="0.3">
      <c r="C184" s="6" t="s">
        <v>44612</v>
      </c>
      <c r="D184" t="s">
        <v>44438</v>
      </c>
    </row>
    <row r="185" spans="3:4" x14ac:dyDescent="0.3">
      <c r="C185" s="6" t="s">
        <v>44613</v>
      </c>
      <c r="D185" t="s">
        <v>44438</v>
      </c>
    </row>
    <row r="186" spans="3:4" x14ac:dyDescent="0.3">
      <c r="C186" s="6" t="s">
        <v>44614</v>
      </c>
      <c r="D186" t="s">
        <v>44438</v>
      </c>
    </row>
    <row r="187" spans="3:4" x14ac:dyDescent="0.3">
      <c r="C187" s="6" t="s">
        <v>44615</v>
      </c>
      <c r="D187" t="s">
        <v>44438</v>
      </c>
    </row>
    <row r="188" spans="3:4" x14ac:dyDescent="0.3">
      <c r="C188" s="6" t="s">
        <v>44616</v>
      </c>
      <c r="D188" t="s">
        <v>44438</v>
      </c>
    </row>
    <row r="189" spans="3:4" x14ac:dyDescent="0.3">
      <c r="C189" s="6" t="s">
        <v>44617</v>
      </c>
      <c r="D189" t="s">
        <v>44438</v>
      </c>
    </row>
    <row r="190" spans="3:4" x14ac:dyDescent="0.3">
      <c r="C190" s="6" t="s">
        <v>44618</v>
      </c>
      <c r="D190" t="s">
        <v>44438</v>
      </c>
    </row>
    <row r="191" spans="3:4" x14ac:dyDescent="0.3">
      <c r="C191" s="6" t="s">
        <v>44619</v>
      </c>
      <c r="D191" t="s">
        <v>44438</v>
      </c>
    </row>
    <row r="192" spans="3:4" x14ac:dyDescent="0.3">
      <c r="C192" s="6" t="s">
        <v>44620</v>
      </c>
      <c r="D192" t="s">
        <v>44438</v>
      </c>
    </row>
    <row r="193" spans="3:4" x14ac:dyDescent="0.3">
      <c r="C193" s="6" t="s">
        <v>44621</v>
      </c>
      <c r="D193" t="s">
        <v>44438</v>
      </c>
    </row>
    <row r="194" spans="3:4" x14ac:dyDescent="0.3">
      <c r="C194" s="6" t="s">
        <v>44622</v>
      </c>
    </row>
    <row r="195" spans="3:4" x14ac:dyDescent="0.3">
      <c r="C195" s="6" t="s">
        <v>44623</v>
      </c>
    </row>
    <row r="196" spans="3:4" x14ac:dyDescent="0.3">
      <c r="C196" s="6" t="s">
        <v>44624</v>
      </c>
    </row>
    <row r="197" spans="3:4" x14ac:dyDescent="0.3">
      <c r="C197" s="6" t="s">
        <v>44625</v>
      </c>
    </row>
    <row r="198" spans="3:4" x14ac:dyDescent="0.3">
      <c r="C198" s="6" t="s">
        <v>44626</v>
      </c>
    </row>
    <row r="199" spans="3:4" x14ac:dyDescent="0.3">
      <c r="C199" s="6" t="s">
        <v>44627</v>
      </c>
    </row>
    <row r="200" spans="3:4" x14ac:dyDescent="0.3">
      <c r="C200" s="6" t="s">
        <v>44628</v>
      </c>
    </row>
    <row r="201" spans="3:4" x14ac:dyDescent="0.3">
      <c r="C201" s="6" t="s">
        <v>44629</v>
      </c>
    </row>
    <row r="202" spans="3:4" x14ac:dyDescent="0.3">
      <c r="C202" s="6" t="s">
        <v>44630</v>
      </c>
    </row>
    <row r="203" spans="3:4" x14ac:dyDescent="0.3">
      <c r="C203" s="6" t="s">
        <v>44631</v>
      </c>
    </row>
    <row r="204" spans="3:4" x14ac:dyDescent="0.3">
      <c r="C204" s="6" t="s">
        <v>44632</v>
      </c>
      <c r="D204" t="s">
        <v>44633</v>
      </c>
    </row>
    <row r="205" spans="3:4" x14ac:dyDescent="0.3">
      <c r="C205" s="6" t="s">
        <v>44634</v>
      </c>
      <c r="D205" t="s">
        <v>44232</v>
      </c>
    </row>
    <row r="206" spans="3:4" x14ac:dyDescent="0.3">
      <c r="C206" s="6" t="s">
        <v>44635</v>
      </c>
      <c r="D206" t="s">
        <v>44272</v>
      </c>
    </row>
    <row r="207" spans="3:4" x14ac:dyDescent="0.3">
      <c r="C207" s="6" t="s">
        <v>44636</v>
      </c>
      <c r="D207" t="s">
        <v>44281</v>
      </c>
    </row>
    <row r="208" spans="3:4" x14ac:dyDescent="0.3">
      <c r="C208" s="6" t="s">
        <v>44637</v>
      </c>
      <c r="D208" t="s">
        <v>44293</v>
      </c>
    </row>
    <row r="209" spans="3:4" x14ac:dyDescent="0.3">
      <c r="C209" s="6" t="s">
        <v>44638</v>
      </c>
      <c r="D209" t="s">
        <v>44296</v>
      </c>
    </row>
    <row r="210" spans="3:4" x14ac:dyDescent="0.3">
      <c r="C210" s="6" t="s">
        <v>44639</v>
      </c>
      <c r="D210" t="s">
        <v>44324</v>
      </c>
    </row>
    <row r="211" spans="3:4" x14ac:dyDescent="0.3">
      <c r="C211" s="6" t="s">
        <v>44640</v>
      </c>
    </row>
    <row r="212" spans="3:4" x14ac:dyDescent="0.3">
      <c r="C212" s="6" t="s">
        <v>44641</v>
      </c>
    </row>
    <row r="213" spans="3:4" x14ac:dyDescent="0.3">
      <c r="C213" s="6" t="s">
        <v>44642</v>
      </c>
    </row>
    <row r="214" spans="3:4" x14ac:dyDescent="0.3">
      <c r="C214" s="6" t="s">
        <v>44643</v>
      </c>
    </row>
    <row r="215" spans="3:4" x14ac:dyDescent="0.3">
      <c r="C215" s="6" t="s">
        <v>44644</v>
      </c>
    </row>
    <row r="216" spans="3:4" x14ac:dyDescent="0.3">
      <c r="C216" s="6" t="s">
        <v>44645</v>
      </c>
    </row>
    <row r="217" spans="3:4" x14ac:dyDescent="0.3">
      <c r="C217" s="6" t="s">
        <v>44646</v>
      </c>
    </row>
    <row r="218" spans="3:4" x14ac:dyDescent="0.3">
      <c r="C218" s="6" t="s">
        <v>44647</v>
      </c>
    </row>
    <row r="219" spans="3:4" x14ac:dyDescent="0.3">
      <c r="C219" s="6" t="s">
        <v>44648</v>
      </c>
    </row>
    <row r="220" spans="3:4" x14ac:dyDescent="0.3">
      <c r="C220" s="6" t="s">
        <v>44649</v>
      </c>
    </row>
    <row r="221" spans="3:4" x14ac:dyDescent="0.3">
      <c r="C221" s="6" t="s">
        <v>44650</v>
      </c>
    </row>
    <row r="222" spans="3:4" x14ac:dyDescent="0.3">
      <c r="C222" s="6" t="s">
        <v>44651</v>
      </c>
    </row>
    <row r="223" spans="3:4" x14ac:dyDescent="0.3">
      <c r="C223" s="6" t="s">
        <v>44652</v>
      </c>
    </row>
    <row r="224" spans="3:4" x14ac:dyDescent="0.3">
      <c r="C224" s="6" t="s">
        <v>44653</v>
      </c>
    </row>
    <row r="225" spans="3:3" x14ac:dyDescent="0.3">
      <c r="C225" s="6" t="s">
        <v>44654</v>
      </c>
    </row>
    <row r="226" spans="3:3" x14ac:dyDescent="0.3">
      <c r="C226" s="6" t="s">
        <v>44655</v>
      </c>
    </row>
    <row r="227" spans="3:3" x14ac:dyDescent="0.3">
      <c r="C227" s="6" t="s">
        <v>44656</v>
      </c>
    </row>
    <row r="228" spans="3:3" x14ac:dyDescent="0.3">
      <c r="C228" s="6" t="s">
        <v>44657</v>
      </c>
    </row>
    <row r="229" spans="3:3" x14ac:dyDescent="0.3">
      <c r="C229" s="6" t="s">
        <v>44658</v>
      </c>
    </row>
    <row r="230" spans="3:3" x14ac:dyDescent="0.3">
      <c r="C230" s="6" t="s">
        <v>44659</v>
      </c>
    </row>
    <row r="231" spans="3:3" x14ac:dyDescent="0.3">
      <c r="C231" s="6" t="s">
        <v>44660</v>
      </c>
    </row>
    <row r="232" spans="3:3" x14ac:dyDescent="0.3">
      <c r="C232" s="6" t="s">
        <v>44661</v>
      </c>
    </row>
    <row r="233" spans="3:3" x14ac:dyDescent="0.3">
      <c r="C233" s="6" t="s">
        <v>44662</v>
      </c>
    </row>
    <row r="234" spans="3:3" x14ac:dyDescent="0.3">
      <c r="C234" s="6" t="s">
        <v>44663</v>
      </c>
    </row>
    <row r="235" spans="3:3" x14ac:dyDescent="0.3">
      <c r="C235" s="6" t="s">
        <v>44664</v>
      </c>
    </row>
    <row r="236" spans="3:3" x14ac:dyDescent="0.3">
      <c r="C236" s="6" t="s">
        <v>44665</v>
      </c>
    </row>
    <row r="237" spans="3:3" x14ac:dyDescent="0.3">
      <c r="C237" s="6" t="s">
        <v>44666</v>
      </c>
    </row>
    <row r="238" spans="3:3" x14ac:dyDescent="0.3">
      <c r="C238" s="6" t="s">
        <v>44667</v>
      </c>
    </row>
    <row r="239" spans="3:3" x14ac:dyDescent="0.3">
      <c r="C239" s="6" t="s">
        <v>44668</v>
      </c>
    </row>
    <row r="240" spans="3:3" x14ac:dyDescent="0.3">
      <c r="C240" s="6" t="s">
        <v>44669</v>
      </c>
    </row>
    <row r="241" spans="3:4" x14ac:dyDescent="0.3">
      <c r="C241" s="6" t="s">
        <v>44670</v>
      </c>
    </row>
    <row r="242" spans="3:4" x14ac:dyDescent="0.3">
      <c r="C242" s="6" t="s">
        <v>44671</v>
      </c>
    </row>
    <row r="243" spans="3:4" x14ac:dyDescent="0.3">
      <c r="C243" s="6" t="s">
        <v>44672</v>
      </c>
    </row>
    <row r="244" spans="3:4" x14ac:dyDescent="0.3">
      <c r="C244" s="6" t="s">
        <v>44673</v>
      </c>
      <c r="D244" t="s">
        <v>44674</v>
      </c>
    </row>
    <row r="245" spans="3:4" x14ac:dyDescent="0.3">
      <c r="C245" s="6" t="s">
        <v>44675</v>
      </c>
      <c r="D245" t="s">
        <v>44278</v>
      </c>
    </row>
    <row r="246" spans="3:4" x14ac:dyDescent="0.3">
      <c r="C246" s="6" t="s">
        <v>44676</v>
      </c>
      <c r="D246" t="s">
        <v>44293</v>
      </c>
    </row>
    <row r="247" spans="3:4" x14ac:dyDescent="0.3">
      <c r="C247" s="6" t="s">
        <v>44677</v>
      </c>
      <c r="D247" t="s">
        <v>44333</v>
      </c>
    </row>
    <row r="248" spans="3:4" x14ac:dyDescent="0.3">
      <c r="C248" s="6" t="s">
        <v>44678</v>
      </c>
      <c r="D248" t="s">
        <v>44438</v>
      </c>
    </row>
    <row r="249" spans="3:4" x14ac:dyDescent="0.3">
      <c r="C249" s="6" t="s">
        <v>44679</v>
      </c>
      <c r="D249" t="s">
        <v>44438</v>
      </c>
    </row>
    <row r="250" spans="3:4" x14ac:dyDescent="0.3">
      <c r="C250" s="6" t="s">
        <v>44680</v>
      </c>
      <c r="D250" t="s">
        <v>44438</v>
      </c>
    </row>
    <row r="251" spans="3:4" x14ac:dyDescent="0.3">
      <c r="C251" s="6" t="s">
        <v>44681</v>
      </c>
      <c r="D251" t="s">
        <v>44438</v>
      </c>
    </row>
    <row r="252" spans="3:4" x14ac:dyDescent="0.3">
      <c r="C252" s="6" t="s">
        <v>44682</v>
      </c>
      <c r="D252" t="s">
        <v>44438</v>
      </c>
    </row>
    <row r="253" spans="3:4" x14ac:dyDescent="0.3">
      <c r="C253" s="6" t="s">
        <v>44683</v>
      </c>
      <c r="D253" t="s">
        <v>44438</v>
      </c>
    </row>
    <row r="254" spans="3:4" x14ac:dyDescent="0.3">
      <c r="C254" s="6" t="s">
        <v>44684</v>
      </c>
      <c r="D254" t="s">
        <v>44438</v>
      </c>
    </row>
    <row r="255" spans="3:4" x14ac:dyDescent="0.3">
      <c r="C255" s="6" t="s">
        <v>44685</v>
      </c>
      <c r="D255" t="s">
        <v>44438</v>
      </c>
    </row>
    <row r="256" spans="3:4" x14ac:dyDescent="0.3">
      <c r="C256" s="6" t="s">
        <v>44686</v>
      </c>
      <c r="D256" t="s">
        <v>44438</v>
      </c>
    </row>
    <row r="257" spans="3:4" x14ac:dyDescent="0.3">
      <c r="C257" s="6" t="s">
        <v>44687</v>
      </c>
      <c r="D257" t="s">
        <v>44438</v>
      </c>
    </row>
    <row r="258" spans="3:4" x14ac:dyDescent="0.3">
      <c r="C258" s="6" t="s">
        <v>44688</v>
      </c>
      <c r="D258" t="s">
        <v>44438</v>
      </c>
    </row>
    <row r="259" spans="3:4" x14ac:dyDescent="0.3">
      <c r="C259" s="6" t="s">
        <v>44689</v>
      </c>
      <c r="D259" t="s">
        <v>44438</v>
      </c>
    </row>
    <row r="260" spans="3:4" x14ac:dyDescent="0.3">
      <c r="C260" s="6" t="s">
        <v>44690</v>
      </c>
      <c r="D260" t="s">
        <v>44438</v>
      </c>
    </row>
    <row r="261" spans="3:4" x14ac:dyDescent="0.3">
      <c r="C261" s="6" t="s">
        <v>44691</v>
      </c>
      <c r="D261" t="s">
        <v>44438</v>
      </c>
    </row>
    <row r="262" spans="3:4" x14ac:dyDescent="0.3">
      <c r="C262" s="6" t="s">
        <v>44692</v>
      </c>
      <c r="D262" t="s">
        <v>44438</v>
      </c>
    </row>
    <row r="263" spans="3:4" x14ac:dyDescent="0.3">
      <c r="C263" s="6" t="s">
        <v>44693</v>
      </c>
      <c r="D263" t="s">
        <v>44438</v>
      </c>
    </row>
    <row r="264" spans="3:4" x14ac:dyDescent="0.3">
      <c r="C264" s="6" t="s">
        <v>44694</v>
      </c>
      <c r="D264" t="s">
        <v>44438</v>
      </c>
    </row>
    <row r="265" spans="3:4" x14ac:dyDescent="0.3">
      <c r="C265" s="6" t="s">
        <v>44695</v>
      </c>
      <c r="D265" t="s">
        <v>44438</v>
      </c>
    </row>
    <row r="266" spans="3:4" x14ac:dyDescent="0.3">
      <c r="C266" s="6" t="s">
        <v>44696</v>
      </c>
      <c r="D266" t="s">
        <v>44438</v>
      </c>
    </row>
    <row r="267" spans="3:4" x14ac:dyDescent="0.3">
      <c r="C267" s="6" t="s">
        <v>44697</v>
      </c>
      <c r="D267" t="s">
        <v>44438</v>
      </c>
    </row>
    <row r="268" spans="3:4" x14ac:dyDescent="0.3">
      <c r="C268" s="6" t="s">
        <v>44698</v>
      </c>
      <c r="D268" t="s">
        <v>44438</v>
      </c>
    </row>
    <row r="269" spans="3:4" x14ac:dyDescent="0.3">
      <c r="C269" s="6" t="s">
        <v>44699</v>
      </c>
      <c r="D269" t="s">
        <v>44438</v>
      </c>
    </row>
    <row r="270" spans="3:4" x14ac:dyDescent="0.3">
      <c r="C270" s="6" t="s">
        <v>44700</v>
      </c>
      <c r="D270" t="s">
        <v>44438</v>
      </c>
    </row>
    <row r="271" spans="3:4" x14ac:dyDescent="0.3">
      <c r="C271" s="6" t="s">
        <v>44701</v>
      </c>
      <c r="D271" t="s">
        <v>44438</v>
      </c>
    </row>
    <row r="272" spans="3:4" x14ac:dyDescent="0.3">
      <c r="C272" s="6" t="s">
        <v>44702</v>
      </c>
      <c r="D272" t="s">
        <v>44438</v>
      </c>
    </row>
    <row r="273" spans="3:4" x14ac:dyDescent="0.3">
      <c r="C273" s="6" t="s">
        <v>44703</v>
      </c>
      <c r="D273" t="s">
        <v>44438</v>
      </c>
    </row>
    <row r="274" spans="3:4" x14ac:dyDescent="0.3">
      <c r="C274" s="6" t="s">
        <v>44704</v>
      </c>
    </row>
    <row r="275" spans="3:4" x14ac:dyDescent="0.3">
      <c r="C275" s="6" t="s">
        <v>44705</v>
      </c>
    </row>
    <row r="276" spans="3:4" x14ac:dyDescent="0.3">
      <c r="C276" s="6" t="s">
        <v>44706</v>
      </c>
    </row>
    <row r="277" spans="3:4" x14ac:dyDescent="0.3">
      <c r="C277" s="6" t="s">
        <v>44707</v>
      </c>
    </row>
    <row r="278" spans="3:4" x14ac:dyDescent="0.3">
      <c r="C278" s="6" t="s">
        <v>44708</v>
      </c>
    </row>
    <row r="279" spans="3:4" x14ac:dyDescent="0.3">
      <c r="C279" s="6" t="s">
        <v>44709</v>
      </c>
    </row>
    <row r="280" spans="3:4" x14ac:dyDescent="0.3">
      <c r="C280" s="6" t="s">
        <v>44710</v>
      </c>
    </row>
    <row r="281" spans="3:4" x14ac:dyDescent="0.3">
      <c r="C281" s="6" t="s">
        <v>44711</v>
      </c>
    </row>
    <row r="282" spans="3:4" x14ac:dyDescent="0.3">
      <c r="C282" s="6" t="s">
        <v>44712</v>
      </c>
    </row>
    <row r="283" spans="3:4" x14ac:dyDescent="0.3">
      <c r="C283" s="6" t="s">
        <v>44713</v>
      </c>
    </row>
    <row r="284" spans="3:4" x14ac:dyDescent="0.3">
      <c r="C284" s="6" t="s">
        <v>44714</v>
      </c>
      <c r="D284" t="s">
        <v>44715</v>
      </c>
    </row>
    <row r="285" spans="3:4" x14ac:dyDescent="0.3">
      <c r="C285" s="6" t="s">
        <v>44716</v>
      </c>
      <c r="D285" t="s">
        <v>44333</v>
      </c>
    </row>
    <row r="286" spans="3:4" x14ac:dyDescent="0.3">
      <c r="C286" s="6" t="s">
        <v>44717</v>
      </c>
      <c r="D286" t="s">
        <v>44438</v>
      </c>
    </row>
    <row r="287" spans="3:4" x14ac:dyDescent="0.3">
      <c r="C287" s="6" t="s">
        <v>44718</v>
      </c>
      <c r="D287" t="s">
        <v>44438</v>
      </c>
    </row>
    <row r="288" spans="3:4" x14ac:dyDescent="0.3">
      <c r="C288" s="6" t="s">
        <v>44719</v>
      </c>
      <c r="D288" t="s">
        <v>44438</v>
      </c>
    </row>
    <row r="289" spans="3:4" x14ac:dyDescent="0.3">
      <c r="C289" s="6" t="s">
        <v>44720</v>
      </c>
      <c r="D289" t="s">
        <v>44438</v>
      </c>
    </row>
    <row r="290" spans="3:4" x14ac:dyDescent="0.3">
      <c r="C290" s="6" t="s">
        <v>44721</v>
      </c>
      <c r="D290" t="s">
        <v>44438</v>
      </c>
    </row>
    <row r="291" spans="3:4" x14ac:dyDescent="0.3">
      <c r="C291" s="6" t="s">
        <v>44722</v>
      </c>
      <c r="D291" t="s">
        <v>44438</v>
      </c>
    </row>
    <row r="292" spans="3:4" x14ac:dyDescent="0.3">
      <c r="C292" s="6" t="s">
        <v>44723</v>
      </c>
      <c r="D292" t="s">
        <v>44438</v>
      </c>
    </row>
    <row r="293" spans="3:4" x14ac:dyDescent="0.3">
      <c r="C293" s="6" t="s">
        <v>44724</v>
      </c>
      <c r="D293" t="s">
        <v>44438</v>
      </c>
    </row>
    <row r="294" spans="3:4" x14ac:dyDescent="0.3">
      <c r="C294" s="6" t="s">
        <v>44725</v>
      </c>
      <c r="D294" t="s">
        <v>44438</v>
      </c>
    </row>
    <row r="295" spans="3:4" x14ac:dyDescent="0.3">
      <c r="C295" s="6" t="s">
        <v>44726</v>
      </c>
      <c r="D295" t="s">
        <v>44438</v>
      </c>
    </row>
    <row r="296" spans="3:4" x14ac:dyDescent="0.3">
      <c r="C296" s="6" t="s">
        <v>44727</v>
      </c>
      <c r="D296" t="s">
        <v>44438</v>
      </c>
    </row>
    <row r="297" spans="3:4" x14ac:dyDescent="0.3">
      <c r="C297" s="6" t="s">
        <v>44728</v>
      </c>
      <c r="D297" t="s">
        <v>44438</v>
      </c>
    </row>
    <row r="298" spans="3:4" x14ac:dyDescent="0.3">
      <c r="C298" s="6" t="s">
        <v>44729</v>
      </c>
      <c r="D298" t="s">
        <v>44438</v>
      </c>
    </row>
    <row r="299" spans="3:4" x14ac:dyDescent="0.3">
      <c r="C299" s="6" t="s">
        <v>44730</v>
      </c>
      <c r="D299" t="s">
        <v>44438</v>
      </c>
    </row>
    <row r="300" spans="3:4" x14ac:dyDescent="0.3">
      <c r="C300" s="6" t="s">
        <v>44731</v>
      </c>
      <c r="D300" t="s">
        <v>44438</v>
      </c>
    </row>
    <row r="301" spans="3:4" x14ac:dyDescent="0.3">
      <c r="C301" s="6" t="s">
        <v>44732</v>
      </c>
      <c r="D301" t="s">
        <v>44438</v>
      </c>
    </row>
    <row r="302" spans="3:4" x14ac:dyDescent="0.3">
      <c r="C302" s="6" t="s">
        <v>44733</v>
      </c>
      <c r="D302" t="s">
        <v>44438</v>
      </c>
    </row>
    <row r="303" spans="3:4" x14ac:dyDescent="0.3">
      <c r="C303" s="6" t="s">
        <v>44734</v>
      </c>
      <c r="D303" t="s">
        <v>44438</v>
      </c>
    </row>
    <row r="304" spans="3:4" x14ac:dyDescent="0.3">
      <c r="C304" s="6" t="s">
        <v>44735</v>
      </c>
      <c r="D304" t="s">
        <v>44438</v>
      </c>
    </row>
    <row r="305" spans="3:4" x14ac:dyDescent="0.3">
      <c r="C305" s="6" t="s">
        <v>44736</v>
      </c>
      <c r="D305" t="s">
        <v>44438</v>
      </c>
    </row>
    <row r="306" spans="3:4" x14ac:dyDescent="0.3">
      <c r="C306" s="6" t="s">
        <v>44737</v>
      </c>
      <c r="D306" t="s">
        <v>44438</v>
      </c>
    </row>
    <row r="307" spans="3:4" x14ac:dyDescent="0.3">
      <c r="C307" s="6" t="s">
        <v>44738</v>
      </c>
      <c r="D307" t="s">
        <v>44438</v>
      </c>
    </row>
    <row r="308" spans="3:4" x14ac:dyDescent="0.3">
      <c r="C308" s="6" t="s">
        <v>44739</v>
      </c>
      <c r="D308" t="s">
        <v>44438</v>
      </c>
    </row>
    <row r="309" spans="3:4" x14ac:dyDescent="0.3">
      <c r="C309" s="6" t="s">
        <v>44740</v>
      </c>
      <c r="D309" t="s">
        <v>44438</v>
      </c>
    </row>
    <row r="310" spans="3:4" x14ac:dyDescent="0.3">
      <c r="C310" s="6" t="s">
        <v>44741</v>
      </c>
      <c r="D310" t="s">
        <v>44438</v>
      </c>
    </row>
    <row r="311" spans="3:4" x14ac:dyDescent="0.3">
      <c r="C311" s="6" t="s">
        <v>44742</v>
      </c>
      <c r="D311" t="s">
        <v>44438</v>
      </c>
    </row>
    <row r="312" spans="3:4" x14ac:dyDescent="0.3">
      <c r="C312" s="6" t="s">
        <v>44743</v>
      </c>
      <c r="D312" t="s">
        <v>44438</v>
      </c>
    </row>
    <row r="313" spans="3:4" x14ac:dyDescent="0.3">
      <c r="C313" s="6" t="s">
        <v>44744</v>
      </c>
      <c r="D313" t="s">
        <v>44438</v>
      </c>
    </row>
    <row r="314" spans="3:4" x14ac:dyDescent="0.3">
      <c r="C314" s="6" t="s">
        <v>44745</v>
      </c>
    </row>
    <row r="315" spans="3:4" x14ac:dyDescent="0.3">
      <c r="C315" s="6" t="s">
        <v>44746</v>
      </c>
    </row>
    <row r="316" spans="3:4" x14ac:dyDescent="0.3">
      <c r="C316" s="6" t="s">
        <v>44747</v>
      </c>
    </row>
    <row r="317" spans="3:4" x14ac:dyDescent="0.3">
      <c r="C317" s="6" t="s">
        <v>44748</v>
      </c>
    </row>
    <row r="318" spans="3:4" x14ac:dyDescent="0.3">
      <c r="C318" s="6" t="s">
        <v>44749</v>
      </c>
    </row>
    <row r="319" spans="3:4" x14ac:dyDescent="0.3">
      <c r="C319" s="6" t="s">
        <v>44750</v>
      </c>
    </row>
    <row r="320" spans="3:4" x14ac:dyDescent="0.3">
      <c r="C320" s="6" t="s">
        <v>44751</v>
      </c>
    </row>
    <row r="321" spans="3:4" x14ac:dyDescent="0.3">
      <c r="C321" s="6" t="s">
        <v>44752</v>
      </c>
    </row>
    <row r="322" spans="3:4" x14ac:dyDescent="0.3">
      <c r="C322" s="6" t="s">
        <v>44753</v>
      </c>
    </row>
    <row r="323" spans="3:4" x14ac:dyDescent="0.3">
      <c r="C323" s="6" t="s">
        <v>44754</v>
      </c>
    </row>
    <row r="324" spans="3:4" x14ac:dyDescent="0.3">
      <c r="C324" s="6" t="s">
        <v>44755</v>
      </c>
      <c r="D324" t="s">
        <v>44756</v>
      </c>
    </row>
    <row r="325" spans="3:4" x14ac:dyDescent="0.3">
      <c r="C325" s="6" t="s">
        <v>44757</v>
      </c>
      <c r="D325" t="s">
        <v>44244</v>
      </c>
    </row>
    <row r="326" spans="3:4" x14ac:dyDescent="0.3">
      <c r="C326" s="6" t="s">
        <v>44758</v>
      </c>
      <c r="D326" t="s">
        <v>44351</v>
      </c>
    </row>
    <row r="327" spans="3:4" x14ac:dyDescent="0.3">
      <c r="C327" s="6" t="s">
        <v>44759</v>
      </c>
      <c r="D327" t="s">
        <v>44300</v>
      </c>
    </row>
    <row r="328" spans="3:4" x14ac:dyDescent="0.3">
      <c r="C328" s="6" t="s">
        <v>44760</v>
      </c>
      <c r="D328" t="s">
        <v>44356</v>
      </c>
    </row>
    <row r="329" spans="3:4" x14ac:dyDescent="0.3">
      <c r="C329" s="6" t="s">
        <v>44761</v>
      </c>
      <c r="D329" t="s">
        <v>44438</v>
      </c>
    </row>
    <row r="330" spans="3:4" x14ac:dyDescent="0.3">
      <c r="C330" s="6" t="s">
        <v>44762</v>
      </c>
      <c r="D330" t="s">
        <v>44438</v>
      </c>
    </row>
    <row r="331" spans="3:4" x14ac:dyDescent="0.3">
      <c r="C331" s="6" t="s">
        <v>44763</v>
      </c>
      <c r="D331" t="s">
        <v>44438</v>
      </c>
    </row>
    <row r="332" spans="3:4" x14ac:dyDescent="0.3">
      <c r="C332" s="6" t="s">
        <v>44764</v>
      </c>
      <c r="D332" t="s">
        <v>44438</v>
      </c>
    </row>
    <row r="333" spans="3:4" x14ac:dyDescent="0.3">
      <c r="C333" s="6" t="s">
        <v>44765</v>
      </c>
      <c r="D333" t="s">
        <v>44438</v>
      </c>
    </row>
    <row r="334" spans="3:4" x14ac:dyDescent="0.3">
      <c r="C334" s="6" t="s">
        <v>44766</v>
      </c>
      <c r="D334" t="s">
        <v>44438</v>
      </c>
    </row>
    <row r="335" spans="3:4" x14ac:dyDescent="0.3">
      <c r="C335" s="6" t="s">
        <v>44767</v>
      </c>
      <c r="D335" t="s">
        <v>44438</v>
      </c>
    </row>
    <row r="336" spans="3:4" x14ac:dyDescent="0.3">
      <c r="C336" s="6" t="s">
        <v>44768</v>
      </c>
      <c r="D336" t="s">
        <v>44438</v>
      </c>
    </row>
    <row r="337" spans="3:4" x14ac:dyDescent="0.3">
      <c r="C337" s="6" t="s">
        <v>44769</v>
      </c>
      <c r="D337" t="s">
        <v>44438</v>
      </c>
    </row>
    <row r="338" spans="3:4" x14ac:dyDescent="0.3">
      <c r="C338" s="6" t="s">
        <v>44770</v>
      </c>
      <c r="D338" t="s">
        <v>44438</v>
      </c>
    </row>
    <row r="339" spans="3:4" x14ac:dyDescent="0.3">
      <c r="C339" s="6" t="s">
        <v>44771</v>
      </c>
      <c r="D339" t="s">
        <v>44438</v>
      </c>
    </row>
    <row r="340" spans="3:4" x14ac:dyDescent="0.3">
      <c r="C340" s="6" t="s">
        <v>44772</v>
      </c>
      <c r="D340" t="s">
        <v>44438</v>
      </c>
    </row>
    <row r="341" spans="3:4" x14ac:dyDescent="0.3">
      <c r="C341" s="6" t="s">
        <v>44773</v>
      </c>
      <c r="D341" t="s">
        <v>44438</v>
      </c>
    </row>
    <row r="342" spans="3:4" x14ac:dyDescent="0.3">
      <c r="C342" s="6" t="s">
        <v>44774</v>
      </c>
      <c r="D342" t="s">
        <v>44438</v>
      </c>
    </row>
    <row r="343" spans="3:4" x14ac:dyDescent="0.3">
      <c r="C343" s="6" t="s">
        <v>44775</v>
      </c>
      <c r="D343" t="s">
        <v>44438</v>
      </c>
    </row>
    <row r="344" spans="3:4" x14ac:dyDescent="0.3">
      <c r="C344" s="6" t="s">
        <v>44776</v>
      </c>
      <c r="D344" t="s">
        <v>44438</v>
      </c>
    </row>
    <row r="345" spans="3:4" x14ac:dyDescent="0.3">
      <c r="C345" s="6" t="s">
        <v>44777</v>
      </c>
      <c r="D345" t="s">
        <v>44438</v>
      </c>
    </row>
    <row r="346" spans="3:4" x14ac:dyDescent="0.3">
      <c r="C346" s="6" t="s">
        <v>44778</v>
      </c>
      <c r="D346" t="s">
        <v>44438</v>
      </c>
    </row>
    <row r="347" spans="3:4" x14ac:dyDescent="0.3">
      <c r="C347" s="6" t="s">
        <v>44779</v>
      </c>
      <c r="D347" t="s">
        <v>44438</v>
      </c>
    </row>
    <row r="348" spans="3:4" x14ac:dyDescent="0.3">
      <c r="C348" s="6" t="s">
        <v>44780</v>
      </c>
      <c r="D348" t="s">
        <v>44438</v>
      </c>
    </row>
    <row r="349" spans="3:4" x14ac:dyDescent="0.3">
      <c r="C349" s="6" t="s">
        <v>44781</v>
      </c>
      <c r="D349" t="s">
        <v>44438</v>
      </c>
    </row>
    <row r="350" spans="3:4" x14ac:dyDescent="0.3">
      <c r="C350" s="6" t="s">
        <v>44782</v>
      </c>
      <c r="D350" t="s">
        <v>44438</v>
      </c>
    </row>
    <row r="351" spans="3:4" x14ac:dyDescent="0.3">
      <c r="C351" s="6" t="s">
        <v>44783</v>
      </c>
      <c r="D351" t="s">
        <v>44438</v>
      </c>
    </row>
    <row r="352" spans="3:4" x14ac:dyDescent="0.3">
      <c r="C352" s="6" t="s">
        <v>44784</v>
      </c>
      <c r="D352" t="s">
        <v>44438</v>
      </c>
    </row>
    <row r="353" spans="3:4" x14ac:dyDescent="0.3">
      <c r="C353" s="6" t="s">
        <v>44785</v>
      </c>
      <c r="D353" t="s">
        <v>44438</v>
      </c>
    </row>
    <row r="354" spans="3:4" x14ac:dyDescent="0.3">
      <c r="C354" s="6" t="s">
        <v>44786</v>
      </c>
    </row>
    <row r="355" spans="3:4" x14ac:dyDescent="0.3">
      <c r="C355" s="6" t="s">
        <v>44787</v>
      </c>
    </row>
    <row r="356" spans="3:4" x14ac:dyDescent="0.3">
      <c r="C356" s="6" t="s">
        <v>44788</v>
      </c>
    </row>
    <row r="357" spans="3:4" x14ac:dyDescent="0.3">
      <c r="C357" s="6" t="s">
        <v>44789</v>
      </c>
    </row>
    <row r="358" spans="3:4" x14ac:dyDescent="0.3">
      <c r="C358" s="6" t="s">
        <v>44790</v>
      </c>
    </row>
    <row r="359" spans="3:4" x14ac:dyDescent="0.3">
      <c r="C359" s="6" t="s">
        <v>44791</v>
      </c>
    </row>
    <row r="360" spans="3:4" x14ac:dyDescent="0.3">
      <c r="C360" s="6" t="s">
        <v>44792</v>
      </c>
    </row>
    <row r="361" spans="3:4" x14ac:dyDescent="0.3">
      <c r="C361" s="6" t="s">
        <v>44793</v>
      </c>
    </row>
    <row r="362" spans="3:4" x14ac:dyDescent="0.3">
      <c r="C362" s="6" t="s">
        <v>44794</v>
      </c>
    </row>
    <row r="363" spans="3:4" x14ac:dyDescent="0.3">
      <c r="C363" s="6" t="s">
        <v>44795</v>
      </c>
    </row>
    <row r="364" spans="3:4" x14ac:dyDescent="0.3">
      <c r="C364" s="6" t="s">
        <v>44796</v>
      </c>
      <c r="D364" t="s">
        <v>44797</v>
      </c>
    </row>
    <row r="365" spans="3:4" x14ac:dyDescent="0.3">
      <c r="C365" s="6" t="s">
        <v>44798</v>
      </c>
      <c r="D365" t="s">
        <v>44351</v>
      </c>
    </row>
    <row r="366" spans="3:4" x14ac:dyDescent="0.3">
      <c r="C366" s="6" t="s">
        <v>44799</v>
      </c>
      <c r="D366" t="s">
        <v>44356</v>
      </c>
    </row>
    <row r="367" spans="3:4" x14ac:dyDescent="0.3">
      <c r="C367" s="6" t="s">
        <v>44800</v>
      </c>
    </row>
    <row r="368" spans="3:4" x14ac:dyDescent="0.3">
      <c r="C368" s="6" t="s">
        <v>44801</v>
      </c>
    </row>
    <row r="369" spans="3:3" x14ac:dyDescent="0.3">
      <c r="C369" s="6" t="s">
        <v>44802</v>
      </c>
    </row>
    <row r="370" spans="3:3" x14ac:dyDescent="0.3">
      <c r="C370" s="6" t="s">
        <v>44803</v>
      </c>
    </row>
    <row r="371" spans="3:3" x14ac:dyDescent="0.3">
      <c r="C371" s="6" t="s">
        <v>44804</v>
      </c>
    </row>
    <row r="372" spans="3:3" x14ac:dyDescent="0.3">
      <c r="C372" s="6" t="s">
        <v>44805</v>
      </c>
    </row>
    <row r="373" spans="3:3" x14ac:dyDescent="0.3">
      <c r="C373" s="6" t="s">
        <v>44806</v>
      </c>
    </row>
    <row r="374" spans="3:3" x14ac:dyDescent="0.3">
      <c r="C374" s="6" t="s">
        <v>44807</v>
      </c>
    </row>
    <row r="375" spans="3:3" x14ac:dyDescent="0.3">
      <c r="C375" s="6" t="s">
        <v>44808</v>
      </c>
    </row>
    <row r="376" spans="3:3" x14ac:dyDescent="0.3">
      <c r="C376" s="6" t="s">
        <v>44809</v>
      </c>
    </row>
    <row r="377" spans="3:3" x14ac:dyDescent="0.3">
      <c r="C377" s="6" t="s">
        <v>44810</v>
      </c>
    </row>
    <row r="378" spans="3:3" x14ac:dyDescent="0.3">
      <c r="C378" s="6" t="s">
        <v>44811</v>
      </c>
    </row>
    <row r="379" spans="3:3" x14ac:dyDescent="0.3">
      <c r="C379" s="6" t="s">
        <v>44812</v>
      </c>
    </row>
    <row r="380" spans="3:3" x14ac:dyDescent="0.3">
      <c r="C380" s="6" t="s">
        <v>44813</v>
      </c>
    </row>
    <row r="381" spans="3:3" x14ac:dyDescent="0.3">
      <c r="C381" s="6" t="s">
        <v>44814</v>
      </c>
    </row>
    <row r="382" spans="3:3" x14ac:dyDescent="0.3">
      <c r="C382" s="6" t="s">
        <v>44815</v>
      </c>
    </row>
    <row r="383" spans="3:3" x14ac:dyDescent="0.3">
      <c r="C383" s="6" t="s">
        <v>44816</v>
      </c>
    </row>
    <row r="384" spans="3:3" x14ac:dyDescent="0.3">
      <c r="C384" s="6" t="s">
        <v>44817</v>
      </c>
    </row>
    <row r="385" spans="3:3" x14ac:dyDescent="0.3">
      <c r="C385" s="6" t="s">
        <v>44818</v>
      </c>
    </row>
    <row r="386" spans="3:3" x14ac:dyDescent="0.3">
      <c r="C386" s="6" t="s">
        <v>44819</v>
      </c>
    </row>
    <row r="387" spans="3:3" x14ac:dyDescent="0.3">
      <c r="C387" s="6" t="s">
        <v>44820</v>
      </c>
    </row>
    <row r="388" spans="3:3" x14ac:dyDescent="0.3">
      <c r="C388" s="6" t="s">
        <v>44821</v>
      </c>
    </row>
    <row r="389" spans="3:3" x14ac:dyDescent="0.3">
      <c r="C389" s="6" t="s">
        <v>44822</v>
      </c>
    </row>
    <row r="390" spans="3:3" x14ac:dyDescent="0.3">
      <c r="C390" s="6" t="s">
        <v>44823</v>
      </c>
    </row>
    <row r="391" spans="3:3" x14ac:dyDescent="0.3">
      <c r="C391" s="6" t="s">
        <v>44824</v>
      </c>
    </row>
    <row r="392" spans="3:3" x14ac:dyDescent="0.3">
      <c r="C392" s="6" t="s">
        <v>44825</v>
      </c>
    </row>
    <row r="393" spans="3:3" x14ac:dyDescent="0.3">
      <c r="C393" s="6" t="s">
        <v>44826</v>
      </c>
    </row>
    <row r="394" spans="3:3" x14ac:dyDescent="0.3">
      <c r="C394" s="6" t="s">
        <v>44827</v>
      </c>
    </row>
    <row r="395" spans="3:3" x14ac:dyDescent="0.3">
      <c r="C395" s="6" t="s">
        <v>44828</v>
      </c>
    </row>
    <row r="396" spans="3:3" x14ac:dyDescent="0.3">
      <c r="C396" s="6" t="s">
        <v>44829</v>
      </c>
    </row>
    <row r="397" spans="3:3" x14ac:dyDescent="0.3">
      <c r="C397" s="6" t="s">
        <v>44830</v>
      </c>
    </row>
    <row r="398" spans="3:3" x14ac:dyDescent="0.3">
      <c r="C398" s="6" t="s">
        <v>44831</v>
      </c>
    </row>
    <row r="399" spans="3:3" x14ac:dyDescent="0.3">
      <c r="C399" s="6" t="s">
        <v>44832</v>
      </c>
    </row>
    <row r="400" spans="3:3" x14ac:dyDescent="0.3">
      <c r="C400" s="6" t="s">
        <v>44833</v>
      </c>
    </row>
    <row r="401" spans="3:4" x14ac:dyDescent="0.3">
      <c r="C401" s="6" t="s">
        <v>44834</v>
      </c>
    </row>
    <row r="402" spans="3:4" x14ac:dyDescent="0.3">
      <c r="C402" s="6" t="s">
        <v>44835</v>
      </c>
    </row>
    <row r="403" spans="3:4" x14ac:dyDescent="0.3">
      <c r="C403" s="6" t="s">
        <v>44836</v>
      </c>
    </row>
    <row r="404" spans="3:4" x14ac:dyDescent="0.3">
      <c r="C404" s="6" t="s">
        <v>44837</v>
      </c>
      <c r="D404" t="s">
        <v>44838</v>
      </c>
    </row>
    <row r="405" spans="3:4" x14ac:dyDescent="0.3">
      <c r="C405" s="6" t="s">
        <v>44839</v>
      </c>
      <c r="D405" t="s">
        <v>44244</v>
      </c>
    </row>
    <row r="406" spans="3:4" x14ac:dyDescent="0.3">
      <c r="C406" s="6" t="s">
        <v>44840</v>
      </c>
      <c r="D406" t="s">
        <v>44256</v>
      </c>
    </row>
    <row r="407" spans="3:4" x14ac:dyDescent="0.3">
      <c r="C407" s="6" t="s">
        <v>44841</v>
      </c>
      <c r="D407" t="s">
        <v>44260</v>
      </c>
    </row>
    <row r="408" spans="3:4" x14ac:dyDescent="0.3">
      <c r="C408" s="6" t="s">
        <v>44842</v>
      </c>
      <c r="D408" t="s">
        <v>44272</v>
      </c>
    </row>
    <row r="409" spans="3:4" x14ac:dyDescent="0.3">
      <c r="C409" s="6" t="s">
        <v>44843</v>
      </c>
      <c r="D409" t="s">
        <v>44275</v>
      </c>
    </row>
    <row r="410" spans="3:4" x14ac:dyDescent="0.3">
      <c r="C410" s="6" t="s">
        <v>44844</v>
      </c>
      <c r="D410" t="s">
        <v>44281</v>
      </c>
    </row>
    <row r="411" spans="3:4" x14ac:dyDescent="0.3">
      <c r="C411" s="6" t="s">
        <v>44845</v>
      </c>
      <c r="D411" t="s">
        <v>44296</v>
      </c>
    </row>
    <row r="412" spans="3:4" x14ac:dyDescent="0.3">
      <c r="C412" s="6" t="s">
        <v>44846</v>
      </c>
      <c r="D412" t="s">
        <v>44327</v>
      </c>
    </row>
    <row r="413" spans="3:4" x14ac:dyDescent="0.3">
      <c r="C413" s="6" t="s">
        <v>44847</v>
      </c>
      <c r="D413" t="s">
        <v>44438</v>
      </c>
    </row>
    <row r="414" spans="3:4" x14ac:dyDescent="0.3">
      <c r="C414" s="6" t="s">
        <v>44848</v>
      </c>
      <c r="D414" t="s">
        <v>44438</v>
      </c>
    </row>
    <row r="415" spans="3:4" x14ac:dyDescent="0.3">
      <c r="C415" s="6" t="s">
        <v>44849</v>
      </c>
      <c r="D415" t="s">
        <v>44438</v>
      </c>
    </row>
    <row r="416" spans="3:4" x14ac:dyDescent="0.3">
      <c r="C416" s="6" t="s">
        <v>44850</v>
      </c>
      <c r="D416" t="s">
        <v>44438</v>
      </c>
    </row>
    <row r="417" spans="3:4" x14ac:dyDescent="0.3">
      <c r="C417" s="6" t="s">
        <v>44851</v>
      </c>
      <c r="D417" t="s">
        <v>44438</v>
      </c>
    </row>
    <row r="418" spans="3:4" x14ac:dyDescent="0.3">
      <c r="C418" s="6" t="s">
        <v>44852</v>
      </c>
      <c r="D418" t="s">
        <v>44438</v>
      </c>
    </row>
    <row r="419" spans="3:4" x14ac:dyDescent="0.3">
      <c r="C419" s="6" t="s">
        <v>44853</v>
      </c>
      <c r="D419" t="s">
        <v>44438</v>
      </c>
    </row>
    <row r="420" spans="3:4" x14ac:dyDescent="0.3">
      <c r="C420" s="6" t="s">
        <v>44854</v>
      </c>
      <c r="D420" t="s">
        <v>44438</v>
      </c>
    </row>
    <row r="421" spans="3:4" x14ac:dyDescent="0.3">
      <c r="C421" s="6" t="s">
        <v>44855</v>
      </c>
      <c r="D421" t="s">
        <v>44438</v>
      </c>
    </row>
    <row r="422" spans="3:4" x14ac:dyDescent="0.3">
      <c r="C422" s="6" t="s">
        <v>44856</v>
      </c>
      <c r="D422" t="s">
        <v>44438</v>
      </c>
    </row>
    <row r="423" spans="3:4" x14ac:dyDescent="0.3">
      <c r="C423" s="6" t="s">
        <v>44857</v>
      </c>
      <c r="D423" t="s">
        <v>44438</v>
      </c>
    </row>
    <row r="424" spans="3:4" x14ac:dyDescent="0.3">
      <c r="C424" s="6" t="s">
        <v>44858</v>
      </c>
      <c r="D424" t="s">
        <v>44438</v>
      </c>
    </row>
    <row r="425" spans="3:4" x14ac:dyDescent="0.3">
      <c r="C425" s="6" t="s">
        <v>44859</v>
      </c>
      <c r="D425" t="s">
        <v>44438</v>
      </c>
    </row>
    <row r="426" spans="3:4" x14ac:dyDescent="0.3">
      <c r="C426" s="6" t="s">
        <v>44860</v>
      </c>
      <c r="D426" t="s">
        <v>44438</v>
      </c>
    </row>
    <row r="427" spans="3:4" x14ac:dyDescent="0.3">
      <c r="C427" s="6" t="s">
        <v>44861</v>
      </c>
      <c r="D427" t="s">
        <v>44438</v>
      </c>
    </row>
    <row r="428" spans="3:4" x14ac:dyDescent="0.3">
      <c r="C428" s="6" t="s">
        <v>44862</v>
      </c>
      <c r="D428" t="s">
        <v>44438</v>
      </c>
    </row>
    <row r="429" spans="3:4" x14ac:dyDescent="0.3">
      <c r="C429" s="6" t="s">
        <v>44863</v>
      </c>
      <c r="D429" t="s">
        <v>44438</v>
      </c>
    </row>
    <row r="430" spans="3:4" x14ac:dyDescent="0.3">
      <c r="C430" s="6" t="s">
        <v>44864</v>
      </c>
      <c r="D430" t="s">
        <v>44438</v>
      </c>
    </row>
    <row r="431" spans="3:4" x14ac:dyDescent="0.3">
      <c r="C431" s="6" t="s">
        <v>44865</v>
      </c>
      <c r="D431" t="s">
        <v>44438</v>
      </c>
    </row>
    <row r="432" spans="3:4" x14ac:dyDescent="0.3">
      <c r="C432" s="6" t="s">
        <v>44866</v>
      </c>
      <c r="D432" t="s">
        <v>44438</v>
      </c>
    </row>
    <row r="433" spans="3:4" x14ac:dyDescent="0.3">
      <c r="C433" s="6" t="s">
        <v>44867</v>
      </c>
      <c r="D433" t="s">
        <v>44438</v>
      </c>
    </row>
    <row r="434" spans="3:4" x14ac:dyDescent="0.3">
      <c r="C434" s="6" t="s">
        <v>44868</v>
      </c>
    </row>
    <row r="435" spans="3:4" x14ac:dyDescent="0.3">
      <c r="C435" s="6" t="s">
        <v>44869</v>
      </c>
    </row>
    <row r="436" spans="3:4" x14ac:dyDescent="0.3">
      <c r="C436" s="6" t="s">
        <v>44870</v>
      </c>
    </row>
    <row r="437" spans="3:4" x14ac:dyDescent="0.3">
      <c r="C437" s="6" t="s">
        <v>44871</v>
      </c>
    </row>
    <row r="438" spans="3:4" x14ac:dyDescent="0.3">
      <c r="C438" s="6" t="s">
        <v>44872</v>
      </c>
    </row>
    <row r="439" spans="3:4" x14ac:dyDescent="0.3">
      <c r="C439" s="6" t="s">
        <v>44873</v>
      </c>
    </row>
    <row r="440" spans="3:4" x14ac:dyDescent="0.3">
      <c r="C440" s="6" t="s">
        <v>44874</v>
      </c>
    </row>
    <row r="441" spans="3:4" x14ac:dyDescent="0.3">
      <c r="C441" s="6" t="s">
        <v>44875</v>
      </c>
    </row>
    <row r="442" spans="3:4" x14ac:dyDescent="0.3">
      <c r="C442" s="6" t="s">
        <v>44876</v>
      </c>
    </row>
    <row r="443" spans="3:4" x14ac:dyDescent="0.3">
      <c r="C443" s="6" t="s">
        <v>44877</v>
      </c>
    </row>
    <row r="444" spans="3:4" x14ac:dyDescent="0.3">
      <c r="C444" s="6" t="s">
        <v>44878</v>
      </c>
      <c r="D444" t="s">
        <v>44879</v>
      </c>
    </row>
    <row r="445" spans="3:4" x14ac:dyDescent="0.3">
      <c r="C445" s="6" t="s">
        <v>44880</v>
      </c>
      <c r="D445" t="s">
        <v>44244</v>
      </c>
    </row>
    <row r="446" spans="3:4" x14ac:dyDescent="0.3">
      <c r="C446" s="6" t="s">
        <v>44881</v>
      </c>
      <c r="D446" t="s">
        <v>44248</v>
      </c>
    </row>
    <row r="447" spans="3:4" x14ac:dyDescent="0.3">
      <c r="C447" s="6" t="s">
        <v>44882</v>
      </c>
      <c r="D447" t="s">
        <v>44256</v>
      </c>
    </row>
    <row r="448" spans="3:4" x14ac:dyDescent="0.3">
      <c r="C448" s="6" t="s">
        <v>44883</v>
      </c>
      <c r="D448" t="s">
        <v>44263</v>
      </c>
    </row>
    <row r="449" spans="3:4" x14ac:dyDescent="0.3">
      <c r="C449" s="6" t="s">
        <v>44884</v>
      </c>
      <c r="D449" t="s">
        <v>44266</v>
      </c>
    </row>
    <row r="450" spans="3:4" x14ac:dyDescent="0.3">
      <c r="C450" s="6" t="s">
        <v>44885</v>
      </c>
      <c r="D450" t="s">
        <v>44269</v>
      </c>
    </row>
    <row r="451" spans="3:4" x14ac:dyDescent="0.3">
      <c r="C451" s="6" t="s">
        <v>44886</v>
      </c>
      <c r="D451" t="s">
        <v>44281</v>
      </c>
    </row>
    <row r="452" spans="3:4" x14ac:dyDescent="0.3">
      <c r="C452" s="6" t="s">
        <v>44887</v>
      </c>
      <c r="D452" t="s">
        <v>44293</v>
      </c>
    </row>
    <row r="453" spans="3:4" x14ac:dyDescent="0.3">
      <c r="C453" s="6" t="s">
        <v>44888</v>
      </c>
      <c r="D453" t="s">
        <v>44303</v>
      </c>
    </row>
    <row r="454" spans="3:4" x14ac:dyDescent="0.3">
      <c r="C454" s="6" t="s">
        <v>44889</v>
      </c>
      <c r="D454" t="s">
        <v>44321</v>
      </c>
    </row>
    <row r="455" spans="3:4" x14ac:dyDescent="0.3">
      <c r="C455" s="6" t="s">
        <v>44890</v>
      </c>
      <c r="D455" t="s">
        <v>44324</v>
      </c>
    </row>
    <row r="456" spans="3:4" x14ac:dyDescent="0.3">
      <c r="C456" s="6" t="s">
        <v>44891</v>
      </c>
      <c r="D456" t="s">
        <v>44327</v>
      </c>
    </row>
    <row r="457" spans="3:4" x14ac:dyDescent="0.3">
      <c r="C457" s="6" t="s">
        <v>44892</v>
      </c>
      <c r="D457" t="s">
        <v>44330</v>
      </c>
    </row>
    <row r="458" spans="3:4" x14ac:dyDescent="0.3">
      <c r="C458" s="6" t="s">
        <v>44893</v>
      </c>
      <c r="D458" t="s">
        <v>44438</v>
      </c>
    </row>
    <row r="459" spans="3:4" x14ac:dyDescent="0.3">
      <c r="C459" s="6" t="s">
        <v>44894</v>
      </c>
      <c r="D459" t="s">
        <v>44438</v>
      </c>
    </row>
    <row r="460" spans="3:4" x14ac:dyDescent="0.3">
      <c r="C460" s="6" t="s">
        <v>44895</v>
      </c>
      <c r="D460" t="s">
        <v>44438</v>
      </c>
    </row>
    <row r="461" spans="3:4" x14ac:dyDescent="0.3">
      <c r="C461" s="6" t="s">
        <v>44896</v>
      </c>
      <c r="D461" t="s">
        <v>44438</v>
      </c>
    </row>
    <row r="462" spans="3:4" x14ac:dyDescent="0.3">
      <c r="C462" s="6" t="s">
        <v>44897</v>
      </c>
      <c r="D462" t="s">
        <v>44438</v>
      </c>
    </row>
    <row r="463" spans="3:4" x14ac:dyDescent="0.3">
      <c r="C463" s="6" t="s">
        <v>44898</v>
      </c>
      <c r="D463" t="s">
        <v>44438</v>
      </c>
    </row>
    <row r="464" spans="3:4" x14ac:dyDescent="0.3">
      <c r="C464" s="6" t="s">
        <v>44899</v>
      </c>
      <c r="D464" t="s">
        <v>44438</v>
      </c>
    </row>
    <row r="465" spans="3:4" x14ac:dyDescent="0.3">
      <c r="C465" s="6" t="s">
        <v>44900</v>
      </c>
      <c r="D465" t="s">
        <v>44438</v>
      </c>
    </row>
    <row r="466" spans="3:4" x14ac:dyDescent="0.3">
      <c r="C466" s="6" t="s">
        <v>44901</v>
      </c>
      <c r="D466" t="s">
        <v>44438</v>
      </c>
    </row>
    <row r="467" spans="3:4" x14ac:dyDescent="0.3">
      <c r="C467" s="6" t="s">
        <v>44902</v>
      </c>
      <c r="D467" t="s">
        <v>44438</v>
      </c>
    </row>
    <row r="468" spans="3:4" x14ac:dyDescent="0.3">
      <c r="C468" s="6" t="s">
        <v>44903</v>
      </c>
      <c r="D468" t="s">
        <v>44438</v>
      </c>
    </row>
    <row r="469" spans="3:4" x14ac:dyDescent="0.3">
      <c r="C469" s="6" t="s">
        <v>44904</v>
      </c>
      <c r="D469" t="s">
        <v>44438</v>
      </c>
    </row>
    <row r="470" spans="3:4" x14ac:dyDescent="0.3">
      <c r="C470" s="6" t="s">
        <v>44905</v>
      </c>
      <c r="D470" t="s">
        <v>44438</v>
      </c>
    </row>
    <row r="471" spans="3:4" x14ac:dyDescent="0.3">
      <c r="C471" s="6" t="s">
        <v>44906</v>
      </c>
      <c r="D471" t="s">
        <v>44438</v>
      </c>
    </row>
    <row r="472" spans="3:4" x14ac:dyDescent="0.3">
      <c r="C472" s="6" t="s">
        <v>44907</v>
      </c>
      <c r="D472" t="s">
        <v>44438</v>
      </c>
    </row>
    <row r="473" spans="3:4" x14ac:dyDescent="0.3">
      <c r="C473" s="6" t="s">
        <v>44908</v>
      </c>
      <c r="D473" t="s">
        <v>44438</v>
      </c>
    </row>
    <row r="474" spans="3:4" x14ac:dyDescent="0.3">
      <c r="C474" s="6" t="s">
        <v>44909</v>
      </c>
    </row>
    <row r="475" spans="3:4" x14ac:dyDescent="0.3">
      <c r="C475" s="6" t="s">
        <v>44910</v>
      </c>
    </row>
    <row r="476" spans="3:4" x14ac:dyDescent="0.3">
      <c r="C476" s="6" t="s">
        <v>44911</v>
      </c>
    </row>
    <row r="477" spans="3:4" x14ac:dyDescent="0.3">
      <c r="C477" s="6" t="s">
        <v>44912</v>
      </c>
    </row>
    <row r="478" spans="3:4" x14ac:dyDescent="0.3">
      <c r="C478" s="6" t="s">
        <v>44913</v>
      </c>
    </row>
    <row r="479" spans="3:4" x14ac:dyDescent="0.3">
      <c r="C479" s="6" t="s">
        <v>44914</v>
      </c>
    </row>
    <row r="480" spans="3:4" x14ac:dyDescent="0.3">
      <c r="C480" s="6" t="s">
        <v>44915</v>
      </c>
    </row>
    <row r="481" spans="3:4" x14ac:dyDescent="0.3">
      <c r="C481" s="6" t="s">
        <v>44916</v>
      </c>
    </row>
    <row r="482" spans="3:4" x14ac:dyDescent="0.3">
      <c r="C482" s="6" t="s">
        <v>44917</v>
      </c>
    </row>
    <row r="483" spans="3:4" x14ac:dyDescent="0.3">
      <c r="C483" s="6" t="s">
        <v>44918</v>
      </c>
    </row>
    <row r="484" spans="3:4" x14ac:dyDescent="0.3">
      <c r="C484" s="6" t="s">
        <v>44919</v>
      </c>
      <c r="D484" t="s">
        <v>44920</v>
      </c>
    </row>
    <row r="485" spans="3:4" x14ac:dyDescent="0.3">
      <c r="C485" s="6" t="s">
        <v>44921</v>
      </c>
      <c r="D485" t="s">
        <v>44228</v>
      </c>
    </row>
    <row r="486" spans="3:4" x14ac:dyDescent="0.3">
      <c r="C486" s="6" t="s">
        <v>44922</v>
      </c>
      <c r="D486" t="s">
        <v>44248</v>
      </c>
    </row>
    <row r="487" spans="3:4" x14ac:dyDescent="0.3">
      <c r="C487" s="6" t="s">
        <v>44923</v>
      </c>
      <c r="D487" t="s">
        <v>44924</v>
      </c>
    </row>
    <row r="488" spans="3:4" x14ac:dyDescent="0.3">
      <c r="C488" s="6" t="s">
        <v>44925</v>
      </c>
      <c r="D488" t="s">
        <v>44256</v>
      </c>
    </row>
    <row r="489" spans="3:4" x14ac:dyDescent="0.3">
      <c r="C489" s="6" t="s">
        <v>44926</v>
      </c>
      <c r="D489" t="s">
        <v>44260</v>
      </c>
    </row>
    <row r="490" spans="3:4" x14ac:dyDescent="0.3">
      <c r="C490" s="6" t="s">
        <v>44927</v>
      </c>
      <c r="D490" t="s">
        <v>44272</v>
      </c>
    </row>
    <row r="491" spans="3:4" x14ac:dyDescent="0.3">
      <c r="C491" s="6" t="s">
        <v>44928</v>
      </c>
      <c r="D491" t="s">
        <v>44296</v>
      </c>
    </row>
    <row r="492" spans="3:4" x14ac:dyDescent="0.3">
      <c r="C492" s="6" t="s">
        <v>44929</v>
      </c>
      <c r="D492" t="s">
        <v>44315</v>
      </c>
    </row>
    <row r="493" spans="3:4" x14ac:dyDescent="0.3">
      <c r="C493" s="6" t="s">
        <v>44930</v>
      </c>
      <c r="D493" t="s">
        <v>44438</v>
      </c>
    </row>
    <row r="494" spans="3:4" x14ac:dyDescent="0.3">
      <c r="C494" s="6" t="s">
        <v>44931</v>
      </c>
      <c r="D494" t="s">
        <v>44438</v>
      </c>
    </row>
    <row r="495" spans="3:4" x14ac:dyDescent="0.3">
      <c r="C495" s="6" t="s">
        <v>44932</v>
      </c>
      <c r="D495" t="s">
        <v>44438</v>
      </c>
    </row>
    <row r="496" spans="3:4" x14ac:dyDescent="0.3">
      <c r="C496" s="6" t="s">
        <v>44933</v>
      </c>
      <c r="D496" t="s">
        <v>44438</v>
      </c>
    </row>
    <row r="497" spans="3:4" x14ac:dyDescent="0.3">
      <c r="C497" s="6" t="s">
        <v>44934</v>
      </c>
      <c r="D497" t="s">
        <v>44438</v>
      </c>
    </row>
    <row r="498" spans="3:4" x14ac:dyDescent="0.3">
      <c r="C498" s="6" t="s">
        <v>44935</v>
      </c>
      <c r="D498" t="s">
        <v>44438</v>
      </c>
    </row>
    <row r="499" spans="3:4" x14ac:dyDescent="0.3">
      <c r="C499" s="6" t="s">
        <v>44936</v>
      </c>
      <c r="D499" t="s">
        <v>44438</v>
      </c>
    </row>
    <row r="500" spans="3:4" x14ac:dyDescent="0.3">
      <c r="C500" s="6" t="s">
        <v>44937</v>
      </c>
      <c r="D500" t="s">
        <v>44438</v>
      </c>
    </row>
    <row r="501" spans="3:4" x14ac:dyDescent="0.3">
      <c r="C501" s="6" t="s">
        <v>44938</v>
      </c>
      <c r="D501" t="s">
        <v>44438</v>
      </c>
    </row>
    <row r="502" spans="3:4" x14ac:dyDescent="0.3">
      <c r="C502" s="6" t="s">
        <v>44939</v>
      </c>
      <c r="D502" t="s">
        <v>44438</v>
      </c>
    </row>
    <row r="503" spans="3:4" x14ac:dyDescent="0.3">
      <c r="C503" s="6" t="s">
        <v>44940</v>
      </c>
      <c r="D503" t="s">
        <v>44438</v>
      </c>
    </row>
    <row r="504" spans="3:4" x14ac:dyDescent="0.3">
      <c r="C504" s="6" t="s">
        <v>44941</v>
      </c>
      <c r="D504" t="s">
        <v>44438</v>
      </c>
    </row>
    <row r="505" spans="3:4" x14ac:dyDescent="0.3">
      <c r="C505" s="6" t="s">
        <v>44942</v>
      </c>
      <c r="D505" t="s">
        <v>44438</v>
      </c>
    </row>
    <row r="506" spans="3:4" x14ac:dyDescent="0.3">
      <c r="C506" s="6" t="s">
        <v>44943</v>
      </c>
      <c r="D506" t="s">
        <v>44438</v>
      </c>
    </row>
    <row r="507" spans="3:4" x14ac:dyDescent="0.3">
      <c r="C507" s="6" t="s">
        <v>44944</v>
      </c>
      <c r="D507" t="s">
        <v>44438</v>
      </c>
    </row>
    <row r="508" spans="3:4" x14ac:dyDescent="0.3">
      <c r="C508" s="6" t="s">
        <v>44945</v>
      </c>
      <c r="D508" t="s">
        <v>44438</v>
      </c>
    </row>
    <row r="509" spans="3:4" x14ac:dyDescent="0.3">
      <c r="C509" s="6" t="s">
        <v>44946</v>
      </c>
      <c r="D509" t="s">
        <v>44438</v>
      </c>
    </row>
    <row r="510" spans="3:4" x14ac:dyDescent="0.3">
      <c r="C510" s="6" t="s">
        <v>44947</v>
      </c>
      <c r="D510" t="s">
        <v>44438</v>
      </c>
    </row>
    <row r="511" spans="3:4" x14ac:dyDescent="0.3">
      <c r="C511" s="6" t="s">
        <v>44948</v>
      </c>
      <c r="D511" t="s">
        <v>44438</v>
      </c>
    </row>
    <row r="512" spans="3:4" x14ac:dyDescent="0.3">
      <c r="C512" s="6" t="s">
        <v>44949</v>
      </c>
      <c r="D512" t="s">
        <v>44438</v>
      </c>
    </row>
    <row r="513" spans="3:4" x14ac:dyDescent="0.3">
      <c r="C513" s="6" t="s">
        <v>44950</v>
      </c>
      <c r="D513" t="s">
        <v>44438</v>
      </c>
    </row>
    <row r="514" spans="3:4" x14ac:dyDescent="0.3">
      <c r="C514" s="6" t="s">
        <v>44951</v>
      </c>
    </row>
    <row r="515" spans="3:4" x14ac:dyDescent="0.3">
      <c r="C515" s="6" t="s">
        <v>44952</v>
      </c>
    </row>
    <row r="516" spans="3:4" x14ac:dyDescent="0.3">
      <c r="C516" s="6" t="s">
        <v>44953</v>
      </c>
    </row>
    <row r="517" spans="3:4" x14ac:dyDescent="0.3">
      <c r="C517" s="6" t="s">
        <v>44954</v>
      </c>
    </row>
    <row r="518" spans="3:4" x14ac:dyDescent="0.3">
      <c r="C518" s="6" t="s">
        <v>44955</v>
      </c>
    </row>
    <row r="519" spans="3:4" x14ac:dyDescent="0.3">
      <c r="C519" s="6" t="s">
        <v>44956</v>
      </c>
    </row>
    <row r="520" spans="3:4" x14ac:dyDescent="0.3">
      <c r="C520" s="6" t="s">
        <v>44957</v>
      </c>
    </row>
    <row r="521" spans="3:4" x14ac:dyDescent="0.3">
      <c r="C521" s="6" t="s">
        <v>44958</v>
      </c>
    </row>
    <row r="522" spans="3:4" x14ac:dyDescent="0.3">
      <c r="C522" s="6" t="s">
        <v>44959</v>
      </c>
    </row>
    <row r="523" spans="3:4" x14ac:dyDescent="0.3">
      <c r="C523" s="6" t="s">
        <v>44960</v>
      </c>
    </row>
    <row r="524" spans="3:4" x14ac:dyDescent="0.3">
      <c r="C524" s="6" t="s">
        <v>44961</v>
      </c>
    </row>
    <row r="525" spans="3:4" x14ac:dyDescent="0.3">
      <c r="C525" s="6" t="s">
        <v>44962</v>
      </c>
    </row>
    <row r="526" spans="3:4" x14ac:dyDescent="0.3">
      <c r="C526" s="6" t="s">
        <v>44963</v>
      </c>
    </row>
    <row r="527" spans="3:4" x14ac:dyDescent="0.3">
      <c r="C527" s="6" t="s">
        <v>44964</v>
      </c>
    </row>
    <row r="528" spans="3:4" x14ac:dyDescent="0.3">
      <c r="C528" s="6" t="s">
        <v>44965</v>
      </c>
    </row>
    <row r="529" spans="3:3" x14ac:dyDescent="0.3">
      <c r="C529" s="6" t="s">
        <v>44966</v>
      </c>
    </row>
    <row r="530" spans="3:3" x14ac:dyDescent="0.3">
      <c r="C530" s="6" t="s">
        <v>44967</v>
      </c>
    </row>
    <row r="531" spans="3:3" x14ac:dyDescent="0.3">
      <c r="C531" s="6" t="s">
        <v>44968</v>
      </c>
    </row>
    <row r="532" spans="3:3" x14ac:dyDescent="0.3">
      <c r="C532" s="6" t="s">
        <v>44969</v>
      </c>
    </row>
    <row r="533" spans="3:3" x14ac:dyDescent="0.3">
      <c r="C533" s="6" t="s">
        <v>44970</v>
      </c>
    </row>
    <row r="534" spans="3:3" x14ac:dyDescent="0.3">
      <c r="C534" s="6" t="s">
        <v>44971</v>
      </c>
    </row>
    <row r="535" spans="3:3" x14ac:dyDescent="0.3">
      <c r="C535" s="6" t="s">
        <v>44972</v>
      </c>
    </row>
    <row r="536" spans="3:3" x14ac:dyDescent="0.3">
      <c r="C536" s="6" t="s">
        <v>44973</v>
      </c>
    </row>
    <row r="537" spans="3:3" x14ac:dyDescent="0.3">
      <c r="C537" s="6" t="s">
        <v>44974</v>
      </c>
    </row>
    <row r="538" spans="3:3" x14ac:dyDescent="0.3">
      <c r="C538" s="6" t="s">
        <v>44975</v>
      </c>
    </row>
    <row r="539" spans="3:3" x14ac:dyDescent="0.3">
      <c r="C539" s="6" t="s">
        <v>44976</v>
      </c>
    </row>
    <row r="540" spans="3:3" x14ac:dyDescent="0.3">
      <c r="C540" s="6" t="s">
        <v>44977</v>
      </c>
    </row>
    <row r="541" spans="3:3" x14ac:dyDescent="0.3">
      <c r="C541" s="6" t="s">
        <v>44978</v>
      </c>
    </row>
    <row r="542" spans="3:3" x14ac:dyDescent="0.3">
      <c r="C542" s="6" t="s">
        <v>44979</v>
      </c>
    </row>
    <row r="543" spans="3:3" x14ac:dyDescent="0.3">
      <c r="C543" s="6" t="s">
        <v>44980</v>
      </c>
    </row>
    <row r="544" spans="3:3" x14ac:dyDescent="0.3">
      <c r="C544" s="6" t="s">
        <v>44981</v>
      </c>
    </row>
    <row r="545" spans="3:3" x14ac:dyDescent="0.3">
      <c r="C545" s="6" t="s">
        <v>44982</v>
      </c>
    </row>
    <row r="546" spans="3:3" x14ac:dyDescent="0.3">
      <c r="C546" s="6" t="s">
        <v>44983</v>
      </c>
    </row>
    <row r="547" spans="3:3" x14ac:dyDescent="0.3">
      <c r="C547" s="6" t="s">
        <v>44984</v>
      </c>
    </row>
    <row r="548" spans="3:3" x14ac:dyDescent="0.3">
      <c r="C548" s="6" t="s">
        <v>44985</v>
      </c>
    </row>
    <row r="549" spans="3:3" x14ac:dyDescent="0.3">
      <c r="C549" s="6" t="s">
        <v>44986</v>
      </c>
    </row>
    <row r="550" spans="3:3" x14ac:dyDescent="0.3">
      <c r="C550" s="6" t="s">
        <v>44987</v>
      </c>
    </row>
    <row r="551" spans="3:3" x14ac:dyDescent="0.3">
      <c r="C551" s="6" t="s">
        <v>44988</v>
      </c>
    </row>
    <row r="552" spans="3:3" x14ac:dyDescent="0.3">
      <c r="C552" s="6" t="s">
        <v>44989</v>
      </c>
    </row>
    <row r="553" spans="3:3" x14ac:dyDescent="0.3">
      <c r="C553" s="6" t="s">
        <v>44990</v>
      </c>
    </row>
    <row r="554" spans="3:3" x14ac:dyDescent="0.3">
      <c r="C554" s="6" t="s">
        <v>44991</v>
      </c>
    </row>
    <row r="555" spans="3:3" x14ac:dyDescent="0.3">
      <c r="C555" s="6" t="s">
        <v>44992</v>
      </c>
    </row>
    <row r="556" spans="3:3" x14ac:dyDescent="0.3">
      <c r="C556" s="6" t="s">
        <v>44993</v>
      </c>
    </row>
    <row r="557" spans="3:3" x14ac:dyDescent="0.3">
      <c r="C557" s="6" t="s">
        <v>44994</v>
      </c>
    </row>
    <row r="558" spans="3:3" x14ac:dyDescent="0.3">
      <c r="C558" s="6" t="s">
        <v>44995</v>
      </c>
    </row>
    <row r="559" spans="3:3" x14ac:dyDescent="0.3">
      <c r="C559" s="6" t="s">
        <v>44996</v>
      </c>
    </row>
    <row r="560" spans="3:3" x14ac:dyDescent="0.3">
      <c r="C560" s="6" t="s">
        <v>44997</v>
      </c>
    </row>
    <row r="561" spans="3:3" x14ac:dyDescent="0.3">
      <c r="C561" s="6" t="s">
        <v>44998</v>
      </c>
    </row>
    <row r="562" spans="3:3" x14ac:dyDescent="0.3">
      <c r="C562" s="6" t="s">
        <v>44999</v>
      </c>
    </row>
    <row r="563" spans="3:3" x14ac:dyDescent="0.3">
      <c r="C563" s="6" t="s">
        <v>45000</v>
      </c>
    </row>
    <row r="564" spans="3:3" x14ac:dyDescent="0.3">
      <c r="C564" s="6" t="s">
        <v>45001</v>
      </c>
    </row>
    <row r="565" spans="3:3" x14ac:dyDescent="0.3">
      <c r="C565" s="6" t="s">
        <v>45002</v>
      </c>
    </row>
    <row r="566" spans="3:3" x14ac:dyDescent="0.3">
      <c r="C566" s="6" t="s">
        <v>45003</v>
      </c>
    </row>
    <row r="567" spans="3:3" x14ac:dyDescent="0.3">
      <c r="C567" s="6" t="s">
        <v>45004</v>
      </c>
    </row>
    <row r="568" spans="3:3" x14ac:dyDescent="0.3">
      <c r="C568" s="6" t="s">
        <v>45005</v>
      </c>
    </row>
    <row r="569" spans="3:3" x14ac:dyDescent="0.3">
      <c r="C569" s="6" t="s">
        <v>45006</v>
      </c>
    </row>
    <row r="570" spans="3:3" x14ac:dyDescent="0.3">
      <c r="C570" s="6" t="s">
        <v>45007</v>
      </c>
    </row>
    <row r="571" spans="3:3" x14ac:dyDescent="0.3">
      <c r="C571" s="6" t="s">
        <v>45008</v>
      </c>
    </row>
    <row r="572" spans="3:3" x14ac:dyDescent="0.3">
      <c r="C572" s="6" t="s">
        <v>45009</v>
      </c>
    </row>
    <row r="573" spans="3:3" x14ac:dyDescent="0.3">
      <c r="C573" s="6" t="s">
        <v>45010</v>
      </c>
    </row>
    <row r="574" spans="3:3" x14ac:dyDescent="0.3">
      <c r="C574" s="6" t="s">
        <v>45011</v>
      </c>
    </row>
    <row r="575" spans="3:3" x14ac:dyDescent="0.3">
      <c r="C575" s="6" t="s">
        <v>45012</v>
      </c>
    </row>
    <row r="576" spans="3:3" x14ac:dyDescent="0.3">
      <c r="C576" s="6" t="s">
        <v>45013</v>
      </c>
    </row>
    <row r="577" spans="3:3" x14ac:dyDescent="0.3">
      <c r="C577" s="6" t="s">
        <v>45014</v>
      </c>
    </row>
    <row r="578" spans="3:3" x14ac:dyDescent="0.3">
      <c r="C578" s="6" t="s">
        <v>45015</v>
      </c>
    </row>
    <row r="579" spans="3:3" x14ac:dyDescent="0.3">
      <c r="C579" s="6" t="s">
        <v>45016</v>
      </c>
    </row>
    <row r="580" spans="3:3" x14ac:dyDescent="0.3">
      <c r="C580" s="6" t="s">
        <v>45017</v>
      </c>
    </row>
    <row r="581" spans="3:3" x14ac:dyDescent="0.3">
      <c r="C581" s="6" t="s">
        <v>45018</v>
      </c>
    </row>
    <row r="582" spans="3:3" x14ac:dyDescent="0.3">
      <c r="C582" s="6" t="s">
        <v>45019</v>
      </c>
    </row>
    <row r="583" spans="3:3" x14ac:dyDescent="0.3">
      <c r="C583" s="6" t="s">
        <v>45020</v>
      </c>
    </row>
    <row r="584" spans="3:3" x14ac:dyDescent="0.3">
      <c r="C584" s="6" t="s">
        <v>45021</v>
      </c>
    </row>
    <row r="585" spans="3:3" x14ac:dyDescent="0.3">
      <c r="C585" s="6" t="s">
        <v>45022</v>
      </c>
    </row>
    <row r="586" spans="3:3" x14ac:dyDescent="0.3">
      <c r="C586" s="6" t="s">
        <v>45023</v>
      </c>
    </row>
    <row r="587" spans="3:3" x14ac:dyDescent="0.3">
      <c r="C587" s="6" t="s">
        <v>45024</v>
      </c>
    </row>
    <row r="588" spans="3:3" x14ac:dyDescent="0.3">
      <c r="C588" s="6" t="s">
        <v>45025</v>
      </c>
    </row>
    <row r="589" spans="3:3" x14ac:dyDescent="0.3">
      <c r="C589" s="6" t="s">
        <v>45026</v>
      </c>
    </row>
    <row r="590" spans="3:3" x14ac:dyDescent="0.3">
      <c r="C590" s="6" t="s">
        <v>45027</v>
      </c>
    </row>
    <row r="591" spans="3:3" x14ac:dyDescent="0.3">
      <c r="C591" s="6" t="s">
        <v>45028</v>
      </c>
    </row>
    <row r="592" spans="3:3" x14ac:dyDescent="0.3">
      <c r="C592" s="6" t="s">
        <v>45029</v>
      </c>
    </row>
    <row r="593" spans="3:3" x14ac:dyDescent="0.3">
      <c r="C593" s="6" t="s">
        <v>45030</v>
      </c>
    </row>
    <row r="594" spans="3:3" x14ac:dyDescent="0.3">
      <c r="C594" s="6" t="s">
        <v>45031</v>
      </c>
    </row>
    <row r="595" spans="3:3" x14ac:dyDescent="0.3">
      <c r="C595" s="6" t="s">
        <v>45032</v>
      </c>
    </row>
    <row r="596" spans="3:3" x14ac:dyDescent="0.3">
      <c r="C596" s="6" t="s">
        <v>45033</v>
      </c>
    </row>
    <row r="597" spans="3:3" x14ac:dyDescent="0.3">
      <c r="C597" s="6" t="s">
        <v>45034</v>
      </c>
    </row>
    <row r="598" spans="3:3" x14ac:dyDescent="0.3">
      <c r="C598" s="6" t="s">
        <v>45035</v>
      </c>
    </row>
    <row r="599" spans="3:3" x14ac:dyDescent="0.3">
      <c r="C599" s="6" t="s">
        <v>45036</v>
      </c>
    </row>
    <row r="600" spans="3:3" x14ac:dyDescent="0.3">
      <c r="C600" s="6" t="s">
        <v>45037</v>
      </c>
    </row>
    <row r="601" spans="3:3" x14ac:dyDescent="0.3">
      <c r="C601" s="6" t="s">
        <v>45038</v>
      </c>
    </row>
    <row r="602" spans="3:3" x14ac:dyDescent="0.3">
      <c r="C602" s="6" t="s">
        <v>45039</v>
      </c>
    </row>
    <row r="603" spans="3:3" x14ac:dyDescent="0.3">
      <c r="C603" s="6" t="s">
        <v>45040</v>
      </c>
    </row>
    <row r="604" spans="3:3" x14ac:dyDescent="0.3">
      <c r="C604" s="6" t="s">
        <v>45041</v>
      </c>
    </row>
    <row r="605" spans="3:3" x14ac:dyDescent="0.3">
      <c r="C605" s="6" t="s">
        <v>45042</v>
      </c>
    </row>
    <row r="606" spans="3:3" x14ac:dyDescent="0.3">
      <c r="C606" s="6" t="s">
        <v>45043</v>
      </c>
    </row>
    <row r="607" spans="3:3" x14ac:dyDescent="0.3">
      <c r="C607" s="6" t="s">
        <v>45044</v>
      </c>
    </row>
    <row r="608" spans="3:3" x14ac:dyDescent="0.3">
      <c r="C608" s="6" t="s">
        <v>45045</v>
      </c>
    </row>
    <row r="609" spans="3:3" x14ac:dyDescent="0.3">
      <c r="C609" s="6" t="s">
        <v>45046</v>
      </c>
    </row>
    <row r="610" spans="3:3" x14ac:dyDescent="0.3">
      <c r="C610" s="6" t="s">
        <v>45047</v>
      </c>
    </row>
    <row r="611" spans="3:3" x14ac:dyDescent="0.3">
      <c r="C611" s="6" t="s">
        <v>45048</v>
      </c>
    </row>
    <row r="612" spans="3:3" x14ac:dyDescent="0.3">
      <c r="C612" s="6" t="s">
        <v>45049</v>
      </c>
    </row>
    <row r="613" spans="3:3" x14ac:dyDescent="0.3">
      <c r="C613" s="6" t="s">
        <v>45050</v>
      </c>
    </row>
    <row r="614" spans="3:3" x14ac:dyDescent="0.3">
      <c r="C614" s="6" t="s">
        <v>45051</v>
      </c>
    </row>
    <row r="615" spans="3:3" x14ac:dyDescent="0.3">
      <c r="C615" s="6" t="s">
        <v>45052</v>
      </c>
    </row>
    <row r="616" spans="3:3" x14ac:dyDescent="0.3">
      <c r="C616" s="6" t="s">
        <v>45053</v>
      </c>
    </row>
    <row r="617" spans="3:3" x14ac:dyDescent="0.3">
      <c r="C617" s="6" t="s">
        <v>45054</v>
      </c>
    </row>
    <row r="618" spans="3:3" x14ac:dyDescent="0.3">
      <c r="C618" s="6" t="s">
        <v>45055</v>
      </c>
    </row>
    <row r="619" spans="3:3" x14ac:dyDescent="0.3">
      <c r="C619" s="6" t="s">
        <v>45056</v>
      </c>
    </row>
    <row r="620" spans="3:3" x14ac:dyDescent="0.3">
      <c r="C620" s="6" t="s">
        <v>45057</v>
      </c>
    </row>
    <row r="621" spans="3:3" x14ac:dyDescent="0.3">
      <c r="C621" s="6" t="s">
        <v>45058</v>
      </c>
    </row>
    <row r="622" spans="3:3" x14ac:dyDescent="0.3">
      <c r="C622" s="6" t="s">
        <v>45059</v>
      </c>
    </row>
    <row r="623" spans="3:3" x14ac:dyDescent="0.3">
      <c r="C623" s="6" t="s">
        <v>45060</v>
      </c>
    </row>
    <row r="624" spans="3:3" x14ac:dyDescent="0.3">
      <c r="C624" s="6" t="s">
        <v>45061</v>
      </c>
    </row>
    <row r="625" spans="3:3" x14ac:dyDescent="0.3">
      <c r="C625" s="6" t="s">
        <v>45062</v>
      </c>
    </row>
    <row r="626" spans="3:3" x14ac:dyDescent="0.3">
      <c r="C626" s="6" t="s">
        <v>45063</v>
      </c>
    </row>
    <row r="627" spans="3:3" x14ac:dyDescent="0.3">
      <c r="C627" s="6" t="s">
        <v>45064</v>
      </c>
    </row>
    <row r="628" spans="3:3" x14ac:dyDescent="0.3">
      <c r="C628" s="6" t="s">
        <v>45065</v>
      </c>
    </row>
    <row r="629" spans="3:3" x14ac:dyDescent="0.3">
      <c r="C629" s="6" t="s">
        <v>45066</v>
      </c>
    </row>
    <row r="630" spans="3:3" x14ac:dyDescent="0.3">
      <c r="C630" s="6" t="s">
        <v>45067</v>
      </c>
    </row>
    <row r="631" spans="3:3" x14ac:dyDescent="0.3">
      <c r="C631" s="6" t="s">
        <v>45068</v>
      </c>
    </row>
    <row r="632" spans="3:3" x14ac:dyDescent="0.3">
      <c r="C632" s="6" t="s">
        <v>45069</v>
      </c>
    </row>
    <row r="633" spans="3:3" x14ac:dyDescent="0.3">
      <c r="C633" s="6" t="s">
        <v>45070</v>
      </c>
    </row>
    <row r="634" spans="3:3" x14ac:dyDescent="0.3">
      <c r="C634" s="6" t="s">
        <v>45071</v>
      </c>
    </row>
    <row r="635" spans="3:3" x14ac:dyDescent="0.3">
      <c r="C635" s="6" t="s">
        <v>45072</v>
      </c>
    </row>
    <row r="636" spans="3:3" x14ac:dyDescent="0.3">
      <c r="C636" s="6" t="s">
        <v>45073</v>
      </c>
    </row>
    <row r="637" spans="3:3" x14ac:dyDescent="0.3">
      <c r="C637" s="6" t="s">
        <v>45074</v>
      </c>
    </row>
    <row r="638" spans="3:3" x14ac:dyDescent="0.3">
      <c r="C638" s="6" t="s">
        <v>45075</v>
      </c>
    </row>
    <row r="639" spans="3:3" x14ac:dyDescent="0.3">
      <c r="C639" s="6" t="s">
        <v>45076</v>
      </c>
    </row>
    <row r="640" spans="3:3" x14ac:dyDescent="0.3">
      <c r="C640" s="6" t="s">
        <v>45077</v>
      </c>
    </row>
    <row r="641" spans="3:3" x14ac:dyDescent="0.3">
      <c r="C641" s="6" t="s">
        <v>45078</v>
      </c>
    </row>
    <row r="642" spans="3:3" x14ac:dyDescent="0.3">
      <c r="C642" s="6" t="s">
        <v>45079</v>
      </c>
    </row>
    <row r="643" spans="3:3" x14ac:dyDescent="0.3">
      <c r="C643" s="6" t="s">
        <v>45080</v>
      </c>
    </row>
    <row r="644" spans="3:3" x14ac:dyDescent="0.3">
      <c r="C644" t="s">
        <v>45081</v>
      </c>
    </row>
    <row r="645" spans="3:3" x14ac:dyDescent="0.3">
      <c r="C645" t="s">
        <v>45082</v>
      </c>
    </row>
    <row r="646" spans="3:3" x14ac:dyDescent="0.3">
      <c r="C646" t="s">
        <v>45083</v>
      </c>
    </row>
    <row r="647" spans="3:3" x14ac:dyDescent="0.3">
      <c r="C647" t="s">
        <v>45084</v>
      </c>
    </row>
    <row r="648" spans="3:3" x14ac:dyDescent="0.3">
      <c r="C648" t="s">
        <v>45085</v>
      </c>
    </row>
    <row r="649" spans="3:3" x14ac:dyDescent="0.3">
      <c r="C649" t="s">
        <v>45086</v>
      </c>
    </row>
    <row r="650" spans="3:3" x14ac:dyDescent="0.3">
      <c r="C650" t="s">
        <v>45087</v>
      </c>
    </row>
    <row r="651" spans="3:3" x14ac:dyDescent="0.3">
      <c r="C651" t="s">
        <v>45088</v>
      </c>
    </row>
    <row r="652" spans="3:3" x14ac:dyDescent="0.3">
      <c r="C652" t="s">
        <v>45089</v>
      </c>
    </row>
    <row r="653" spans="3:3" x14ac:dyDescent="0.3">
      <c r="C653" t="s">
        <v>45090</v>
      </c>
    </row>
    <row r="654" spans="3:3" x14ac:dyDescent="0.3">
      <c r="C654" t="s">
        <v>45091</v>
      </c>
    </row>
    <row r="655" spans="3:3" x14ac:dyDescent="0.3">
      <c r="C655" t="s">
        <v>45092</v>
      </c>
    </row>
    <row r="656" spans="3:3" x14ac:dyDescent="0.3">
      <c r="C656" t="s">
        <v>45093</v>
      </c>
    </row>
    <row r="657" spans="3:3" x14ac:dyDescent="0.3">
      <c r="C657" t="s">
        <v>45094</v>
      </c>
    </row>
    <row r="658" spans="3:3" x14ac:dyDescent="0.3">
      <c r="C658" t="s">
        <v>45095</v>
      </c>
    </row>
    <row r="659" spans="3:3" x14ac:dyDescent="0.3">
      <c r="C659" t="s">
        <v>45096</v>
      </c>
    </row>
    <row r="660" spans="3:3" x14ac:dyDescent="0.3">
      <c r="C660" t="s">
        <v>45097</v>
      </c>
    </row>
    <row r="661" spans="3:3" x14ac:dyDescent="0.3">
      <c r="C661" t="s">
        <v>45098</v>
      </c>
    </row>
    <row r="662" spans="3:3" x14ac:dyDescent="0.3">
      <c r="C662" t="s">
        <v>45099</v>
      </c>
    </row>
    <row r="663" spans="3:3" x14ac:dyDescent="0.3">
      <c r="C663" t="s">
        <v>45100</v>
      </c>
    </row>
    <row r="664" spans="3:3" x14ac:dyDescent="0.3">
      <c r="C664" t="s">
        <v>45101</v>
      </c>
    </row>
    <row r="665" spans="3:3" x14ac:dyDescent="0.3">
      <c r="C665" t="s">
        <v>45102</v>
      </c>
    </row>
    <row r="666" spans="3:3" x14ac:dyDescent="0.3">
      <c r="C666" t="s">
        <v>45103</v>
      </c>
    </row>
    <row r="667" spans="3:3" x14ac:dyDescent="0.3">
      <c r="C667" t="s">
        <v>45104</v>
      </c>
    </row>
    <row r="668" spans="3:3" x14ac:dyDescent="0.3">
      <c r="C668" t="s">
        <v>45105</v>
      </c>
    </row>
    <row r="669" spans="3:3" x14ac:dyDescent="0.3">
      <c r="C669" t="s">
        <v>45106</v>
      </c>
    </row>
    <row r="670" spans="3:3" x14ac:dyDescent="0.3">
      <c r="C670" t="s">
        <v>45107</v>
      </c>
    </row>
    <row r="671" spans="3:3" x14ac:dyDescent="0.3">
      <c r="C671" t="s">
        <v>45108</v>
      </c>
    </row>
    <row r="672" spans="3:3" x14ac:dyDescent="0.3">
      <c r="C672" t="s">
        <v>45109</v>
      </c>
    </row>
    <row r="673" spans="3:3" x14ac:dyDescent="0.3">
      <c r="C673" t="s">
        <v>45110</v>
      </c>
    </row>
    <row r="674" spans="3:3" x14ac:dyDescent="0.3">
      <c r="C674" t="s">
        <v>45111</v>
      </c>
    </row>
    <row r="675" spans="3:3" x14ac:dyDescent="0.3">
      <c r="C675" t="s">
        <v>45112</v>
      </c>
    </row>
    <row r="676" spans="3:3" x14ac:dyDescent="0.3">
      <c r="C676" t="s">
        <v>45113</v>
      </c>
    </row>
    <row r="677" spans="3:3" x14ac:dyDescent="0.3">
      <c r="C677" t="s">
        <v>45114</v>
      </c>
    </row>
    <row r="678" spans="3:3" x14ac:dyDescent="0.3">
      <c r="C678" t="s">
        <v>45115</v>
      </c>
    </row>
    <row r="679" spans="3:3" x14ac:dyDescent="0.3">
      <c r="C679" t="s">
        <v>45116</v>
      </c>
    </row>
    <row r="680" spans="3:3" x14ac:dyDescent="0.3">
      <c r="C680" t="s">
        <v>45117</v>
      </c>
    </row>
    <row r="681" spans="3:3" x14ac:dyDescent="0.3">
      <c r="C681" t="s">
        <v>45118</v>
      </c>
    </row>
    <row r="682" spans="3:3" x14ac:dyDescent="0.3">
      <c r="C682" t="s">
        <v>45119</v>
      </c>
    </row>
    <row r="683" spans="3:3" x14ac:dyDescent="0.3">
      <c r="C683" t="s">
        <v>45120</v>
      </c>
    </row>
    <row r="684" spans="3:3" x14ac:dyDescent="0.3">
      <c r="C684" t="s">
        <v>45121</v>
      </c>
    </row>
    <row r="685" spans="3:3" x14ac:dyDescent="0.3">
      <c r="C685" t="s">
        <v>45122</v>
      </c>
    </row>
    <row r="686" spans="3:3" x14ac:dyDescent="0.3">
      <c r="C686" t="s">
        <v>45123</v>
      </c>
    </row>
    <row r="687" spans="3:3" x14ac:dyDescent="0.3">
      <c r="C687" t="s">
        <v>45124</v>
      </c>
    </row>
    <row r="688" spans="3:3" x14ac:dyDescent="0.3">
      <c r="C688" t="s">
        <v>45125</v>
      </c>
    </row>
    <row r="689" spans="3:3" x14ac:dyDescent="0.3">
      <c r="C689" t="s">
        <v>45126</v>
      </c>
    </row>
    <row r="690" spans="3:3" x14ac:dyDescent="0.3">
      <c r="C690" t="s">
        <v>45127</v>
      </c>
    </row>
    <row r="691" spans="3:3" x14ac:dyDescent="0.3">
      <c r="C691" t="s">
        <v>45128</v>
      </c>
    </row>
    <row r="692" spans="3:3" x14ac:dyDescent="0.3">
      <c r="C692" t="s">
        <v>45129</v>
      </c>
    </row>
    <row r="693" spans="3:3" x14ac:dyDescent="0.3">
      <c r="C693" t="s">
        <v>45130</v>
      </c>
    </row>
    <row r="694" spans="3:3" x14ac:dyDescent="0.3">
      <c r="C694" t="s">
        <v>45131</v>
      </c>
    </row>
    <row r="695" spans="3:3" x14ac:dyDescent="0.3">
      <c r="C695" t="s">
        <v>45132</v>
      </c>
    </row>
    <row r="696" spans="3:3" x14ac:dyDescent="0.3">
      <c r="C696" t="s">
        <v>45133</v>
      </c>
    </row>
    <row r="697" spans="3:3" x14ac:dyDescent="0.3">
      <c r="C697" t="s">
        <v>45134</v>
      </c>
    </row>
    <row r="698" spans="3:3" x14ac:dyDescent="0.3">
      <c r="C698" t="s">
        <v>45135</v>
      </c>
    </row>
    <row r="699" spans="3:3" x14ac:dyDescent="0.3">
      <c r="C699" t="s">
        <v>45136</v>
      </c>
    </row>
    <row r="700" spans="3:3" x14ac:dyDescent="0.3">
      <c r="C700" t="s">
        <v>45137</v>
      </c>
    </row>
    <row r="701" spans="3:3" x14ac:dyDescent="0.3">
      <c r="C701" t="s">
        <v>45138</v>
      </c>
    </row>
    <row r="702" spans="3:3" x14ac:dyDescent="0.3">
      <c r="C702" t="s">
        <v>45139</v>
      </c>
    </row>
    <row r="703" spans="3:3" x14ac:dyDescent="0.3">
      <c r="C703" t="s">
        <v>45140</v>
      </c>
    </row>
    <row r="704" spans="3:3" x14ac:dyDescent="0.3">
      <c r="C704" t="s">
        <v>45141</v>
      </c>
    </row>
    <row r="705" spans="3:3" x14ac:dyDescent="0.3">
      <c r="C705" t="s">
        <v>45142</v>
      </c>
    </row>
    <row r="706" spans="3:3" x14ac:dyDescent="0.3">
      <c r="C706" t="s">
        <v>45143</v>
      </c>
    </row>
    <row r="707" spans="3:3" x14ac:dyDescent="0.3">
      <c r="C707" t="s">
        <v>45144</v>
      </c>
    </row>
    <row r="708" spans="3:3" x14ac:dyDescent="0.3">
      <c r="C708" t="s">
        <v>45145</v>
      </c>
    </row>
    <row r="709" spans="3:3" x14ac:dyDescent="0.3">
      <c r="C709" t="s">
        <v>45146</v>
      </c>
    </row>
    <row r="710" spans="3:3" x14ac:dyDescent="0.3">
      <c r="C710" t="s">
        <v>45147</v>
      </c>
    </row>
    <row r="711" spans="3:3" x14ac:dyDescent="0.3">
      <c r="C711" t="s">
        <v>45148</v>
      </c>
    </row>
    <row r="712" spans="3:3" x14ac:dyDescent="0.3">
      <c r="C712" t="s">
        <v>45149</v>
      </c>
    </row>
    <row r="713" spans="3:3" x14ac:dyDescent="0.3">
      <c r="C713" t="s">
        <v>45150</v>
      </c>
    </row>
    <row r="714" spans="3:3" x14ac:dyDescent="0.3">
      <c r="C714" t="s">
        <v>45151</v>
      </c>
    </row>
    <row r="715" spans="3:3" x14ac:dyDescent="0.3">
      <c r="C715" t="s">
        <v>45152</v>
      </c>
    </row>
    <row r="716" spans="3:3" x14ac:dyDescent="0.3">
      <c r="C716" t="s">
        <v>45153</v>
      </c>
    </row>
    <row r="717" spans="3:3" x14ac:dyDescent="0.3">
      <c r="C717" t="s">
        <v>45154</v>
      </c>
    </row>
    <row r="718" spans="3:3" x14ac:dyDescent="0.3">
      <c r="C718" t="s">
        <v>45155</v>
      </c>
    </row>
    <row r="719" spans="3:3" x14ac:dyDescent="0.3">
      <c r="C719" t="s">
        <v>45156</v>
      </c>
    </row>
    <row r="720" spans="3:3" x14ac:dyDescent="0.3">
      <c r="C720" t="s">
        <v>45157</v>
      </c>
    </row>
    <row r="721" spans="3:4" x14ac:dyDescent="0.3">
      <c r="C721" t="s">
        <v>45158</v>
      </c>
    </row>
    <row r="722" spans="3:4" x14ac:dyDescent="0.3">
      <c r="C722" t="s">
        <v>45159</v>
      </c>
    </row>
    <row r="723" spans="3:4" x14ac:dyDescent="0.3">
      <c r="C723" t="s">
        <v>45160</v>
      </c>
    </row>
    <row r="724" spans="3:4" x14ac:dyDescent="0.3">
      <c r="C724" s="6" t="s">
        <v>45161</v>
      </c>
      <c r="D724" t="s">
        <v>45162</v>
      </c>
    </row>
    <row r="725" spans="3:4" x14ac:dyDescent="0.3">
      <c r="C725" s="6" t="s">
        <v>45163</v>
      </c>
      <c r="D725" t="s">
        <v>44228</v>
      </c>
    </row>
    <row r="726" spans="3:4" x14ac:dyDescent="0.3">
      <c r="C726" s="6" t="s">
        <v>45164</v>
      </c>
      <c r="D726" t="s">
        <v>44244</v>
      </c>
    </row>
    <row r="727" spans="3:4" x14ac:dyDescent="0.3">
      <c r="C727" s="6" t="s">
        <v>45165</v>
      </c>
      <c r="D727" t="s">
        <v>44256</v>
      </c>
    </row>
    <row r="728" spans="3:4" x14ac:dyDescent="0.3">
      <c r="C728" s="6" t="s">
        <v>45166</v>
      </c>
      <c r="D728" t="s">
        <v>44260</v>
      </c>
    </row>
    <row r="729" spans="3:4" x14ac:dyDescent="0.3">
      <c r="C729" s="6" t="s">
        <v>45167</v>
      </c>
      <c r="D729" t="s">
        <v>44272</v>
      </c>
    </row>
    <row r="730" spans="3:4" x14ac:dyDescent="0.3">
      <c r="C730" s="6" t="s">
        <v>45168</v>
      </c>
      <c r="D730" t="s">
        <v>44275</v>
      </c>
    </row>
    <row r="731" spans="3:4" x14ac:dyDescent="0.3">
      <c r="C731" s="6" t="s">
        <v>45169</v>
      </c>
      <c r="D731" t="s">
        <v>44351</v>
      </c>
    </row>
    <row r="732" spans="3:4" x14ac:dyDescent="0.3">
      <c r="C732" s="6" t="s">
        <v>45170</v>
      </c>
      <c r="D732" t="s">
        <v>44296</v>
      </c>
    </row>
    <row r="733" spans="3:4" x14ac:dyDescent="0.3">
      <c r="C733" s="6" t="s">
        <v>45171</v>
      </c>
      <c r="D733" t="s">
        <v>44356</v>
      </c>
    </row>
    <row r="734" spans="3:4" x14ac:dyDescent="0.3">
      <c r="C734" s="6" t="s">
        <v>45172</v>
      </c>
      <c r="D734" t="s">
        <v>44327</v>
      </c>
    </row>
    <row r="735" spans="3:4" x14ac:dyDescent="0.3">
      <c r="C735" s="6" t="s">
        <v>45173</v>
      </c>
    </row>
    <row r="736" spans="3:4" x14ac:dyDescent="0.3">
      <c r="C736" s="6" t="s">
        <v>45174</v>
      </c>
    </row>
    <row r="737" spans="3:3" x14ac:dyDescent="0.3">
      <c r="C737" s="6" t="s">
        <v>45175</v>
      </c>
    </row>
    <row r="738" spans="3:3" x14ac:dyDescent="0.3">
      <c r="C738" s="6" t="s">
        <v>45176</v>
      </c>
    </row>
    <row r="739" spans="3:3" x14ac:dyDescent="0.3">
      <c r="C739" s="6" t="s">
        <v>45177</v>
      </c>
    </row>
    <row r="740" spans="3:3" x14ac:dyDescent="0.3">
      <c r="C740" s="6" t="s">
        <v>45178</v>
      </c>
    </row>
    <row r="741" spans="3:3" x14ac:dyDescent="0.3">
      <c r="C741" s="6" t="s">
        <v>45179</v>
      </c>
    </row>
    <row r="742" spans="3:3" x14ac:dyDescent="0.3">
      <c r="C742" s="6" t="s">
        <v>45180</v>
      </c>
    </row>
    <row r="743" spans="3:3" x14ac:dyDescent="0.3">
      <c r="C743" s="6" t="s">
        <v>45181</v>
      </c>
    </row>
    <row r="744" spans="3:3" x14ac:dyDescent="0.3">
      <c r="C744" s="6" t="s">
        <v>45182</v>
      </c>
    </row>
    <row r="745" spans="3:3" x14ac:dyDescent="0.3">
      <c r="C745" s="6" t="s">
        <v>45183</v>
      </c>
    </row>
    <row r="746" spans="3:3" x14ac:dyDescent="0.3">
      <c r="C746" s="6" t="s">
        <v>45184</v>
      </c>
    </row>
    <row r="747" spans="3:3" x14ac:dyDescent="0.3">
      <c r="C747" s="6" t="s">
        <v>45185</v>
      </c>
    </row>
    <row r="748" spans="3:3" x14ac:dyDescent="0.3">
      <c r="C748" s="6" t="s">
        <v>45186</v>
      </c>
    </row>
    <row r="749" spans="3:3" x14ac:dyDescent="0.3">
      <c r="C749" s="6" t="s">
        <v>45187</v>
      </c>
    </row>
    <row r="750" spans="3:3" x14ac:dyDescent="0.3">
      <c r="C750" s="6" t="s">
        <v>45188</v>
      </c>
    </row>
    <row r="751" spans="3:3" x14ac:dyDescent="0.3">
      <c r="C751" s="6" t="s">
        <v>45189</v>
      </c>
    </row>
    <row r="752" spans="3:3" x14ac:dyDescent="0.3">
      <c r="C752" s="6" t="s">
        <v>45190</v>
      </c>
    </row>
    <row r="753" spans="3:3" x14ac:dyDescent="0.3">
      <c r="C753" s="6" t="s">
        <v>45191</v>
      </c>
    </row>
    <row r="754" spans="3:3" x14ac:dyDescent="0.3">
      <c r="C754" s="6" t="s">
        <v>45192</v>
      </c>
    </row>
    <row r="755" spans="3:3" x14ac:dyDescent="0.3">
      <c r="C755" s="6" t="s">
        <v>45193</v>
      </c>
    </row>
    <row r="756" spans="3:3" x14ac:dyDescent="0.3">
      <c r="C756" s="6" t="s">
        <v>45194</v>
      </c>
    </row>
    <row r="757" spans="3:3" x14ac:dyDescent="0.3">
      <c r="C757" s="6" t="s">
        <v>45195</v>
      </c>
    </row>
    <row r="758" spans="3:3" x14ac:dyDescent="0.3">
      <c r="C758" s="6" t="s">
        <v>45196</v>
      </c>
    </row>
    <row r="759" spans="3:3" x14ac:dyDescent="0.3">
      <c r="C759" s="6" t="s">
        <v>45197</v>
      </c>
    </row>
    <row r="760" spans="3:3" x14ac:dyDescent="0.3">
      <c r="C760" s="6" t="s">
        <v>45198</v>
      </c>
    </row>
    <row r="761" spans="3:3" x14ac:dyDescent="0.3">
      <c r="C761" s="6" t="s">
        <v>45199</v>
      </c>
    </row>
    <row r="762" spans="3:3" x14ac:dyDescent="0.3">
      <c r="C762" s="6" t="s">
        <v>45200</v>
      </c>
    </row>
    <row r="763" spans="3:3" x14ac:dyDescent="0.3">
      <c r="C763" s="6" t="s">
        <v>45201</v>
      </c>
    </row>
    <row r="764" spans="3:3" x14ac:dyDescent="0.3">
      <c r="C764" s="6" t="s">
        <v>45202</v>
      </c>
    </row>
    <row r="765" spans="3:3" x14ac:dyDescent="0.3">
      <c r="C765" s="6" t="s">
        <v>45203</v>
      </c>
    </row>
    <row r="766" spans="3:3" x14ac:dyDescent="0.3">
      <c r="C766" s="6" t="s">
        <v>45204</v>
      </c>
    </row>
    <row r="767" spans="3:3" x14ac:dyDescent="0.3">
      <c r="C767" s="6" t="s">
        <v>45205</v>
      </c>
    </row>
    <row r="768" spans="3:3" x14ac:dyDescent="0.3">
      <c r="C768" s="6" t="s">
        <v>45206</v>
      </c>
    </row>
    <row r="769" spans="3:3" x14ac:dyDescent="0.3">
      <c r="C769" s="6" t="s">
        <v>45207</v>
      </c>
    </row>
    <row r="770" spans="3:3" x14ac:dyDescent="0.3">
      <c r="C770" s="6" t="s">
        <v>45208</v>
      </c>
    </row>
    <row r="771" spans="3:3" x14ac:dyDescent="0.3">
      <c r="C771" s="6" t="s">
        <v>45209</v>
      </c>
    </row>
    <row r="772" spans="3:3" x14ac:dyDescent="0.3">
      <c r="C772" s="6" t="s">
        <v>45210</v>
      </c>
    </row>
    <row r="773" spans="3:3" x14ac:dyDescent="0.3">
      <c r="C773" s="6" t="s">
        <v>45211</v>
      </c>
    </row>
    <row r="774" spans="3:3" x14ac:dyDescent="0.3">
      <c r="C774" s="6" t="s">
        <v>45212</v>
      </c>
    </row>
    <row r="775" spans="3:3" x14ac:dyDescent="0.3">
      <c r="C775" s="6" t="s">
        <v>45213</v>
      </c>
    </row>
    <row r="776" spans="3:3" x14ac:dyDescent="0.3">
      <c r="C776" s="6" t="s">
        <v>45214</v>
      </c>
    </row>
    <row r="777" spans="3:3" x14ac:dyDescent="0.3">
      <c r="C777" s="6" t="s">
        <v>45215</v>
      </c>
    </row>
    <row r="778" spans="3:3" x14ac:dyDescent="0.3">
      <c r="C778" s="6" t="s">
        <v>45216</v>
      </c>
    </row>
    <row r="779" spans="3:3" x14ac:dyDescent="0.3">
      <c r="C779" s="6" t="s">
        <v>45217</v>
      </c>
    </row>
    <row r="780" spans="3:3" x14ac:dyDescent="0.3">
      <c r="C780" s="6" t="s">
        <v>45218</v>
      </c>
    </row>
    <row r="781" spans="3:3" x14ac:dyDescent="0.3">
      <c r="C781" s="6" t="s">
        <v>45219</v>
      </c>
    </row>
    <row r="782" spans="3:3" x14ac:dyDescent="0.3">
      <c r="C782" s="6" t="s">
        <v>45220</v>
      </c>
    </row>
    <row r="783" spans="3:3" x14ac:dyDescent="0.3">
      <c r="C783" s="6" t="s">
        <v>45221</v>
      </c>
    </row>
    <row r="784" spans="3:3" x14ac:dyDescent="0.3">
      <c r="C784" s="6" t="s">
        <v>45222</v>
      </c>
    </row>
    <row r="785" spans="3:3" x14ac:dyDescent="0.3">
      <c r="C785" s="6" t="s">
        <v>45223</v>
      </c>
    </row>
    <row r="786" spans="3:3" x14ac:dyDescent="0.3">
      <c r="C786" s="6" t="s">
        <v>45224</v>
      </c>
    </row>
    <row r="787" spans="3:3" x14ac:dyDescent="0.3">
      <c r="C787" s="6" t="s">
        <v>45225</v>
      </c>
    </row>
    <row r="788" spans="3:3" x14ac:dyDescent="0.3">
      <c r="C788" s="6" t="s">
        <v>45226</v>
      </c>
    </row>
    <row r="789" spans="3:3" x14ac:dyDescent="0.3">
      <c r="C789" s="6" t="s">
        <v>45227</v>
      </c>
    </row>
    <row r="790" spans="3:3" x14ac:dyDescent="0.3">
      <c r="C790" s="6" t="s">
        <v>45228</v>
      </c>
    </row>
    <row r="791" spans="3:3" x14ac:dyDescent="0.3">
      <c r="C791" s="6" t="s">
        <v>45229</v>
      </c>
    </row>
    <row r="792" spans="3:3" x14ac:dyDescent="0.3">
      <c r="C792" s="6" t="s">
        <v>45230</v>
      </c>
    </row>
    <row r="793" spans="3:3" x14ac:dyDescent="0.3">
      <c r="C793" s="6" t="s">
        <v>45231</v>
      </c>
    </row>
    <row r="794" spans="3:3" x14ac:dyDescent="0.3">
      <c r="C794" s="6" t="s">
        <v>45232</v>
      </c>
    </row>
    <row r="795" spans="3:3" x14ac:dyDescent="0.3">
      <c r="C795" s="6" t="s">
        <v>45233</v>
      </c>
    </row>
    <row r="796" spans="3:3" x14ac:dyDescent="0.3">
      <c r="C796" s="6" t="s">
        <v>45234</v>
      </c>
    </row>
    <row r="797" spans="3:3" x14ac:dyDescent="0.3">
      <c r="C797" s="6" t="s">
        <v>45235</v>
      </c>
    </row>
    <row r="798" spans="3:3" x14ac:dyDescent="0.3">
      <c r="C798" s="6" t="s">
        <v>45236</v>
      </c>
    </row>
    <row r="799" spans="3:3" x14ac:dyDescent="0.3">
      <c r="C799" s="6" t="s">
        <v>45237</v>
      </c>
    </row>
    <row r="800" spans="3:3" x14ac:dyDescent="0.3">
      <c r="C800" s="6" t="s">
        <v>45238</v>
      </c>
    </row>
    <row r="801" spans="3:3" x14ac:dyDescent="0.3">
      <c r="C801" s="6" t="s">
        <v>45239</v>
      </c>
    </row>
    <row r="802" spans="3:3" x14ac:dyDescent="0.3">
      <c r="C802" s="6" t="s">
        <v>45240</v>
      </c>
    </row>
    <row r="803" spans="3:3" x14ac:dyDescent="0.3">
      <c r="C803" s="6" t="s">
        <v>45241</v>
      </c>
    </row>
    <row r="804" spans="3:3" x14ac:dyDescent="0.3">
      <c r="C804" s="6" t="s">
        <v>45242</v>
      </c>
    </row>
    <row r="805" spans="3:3" x14ac:dyDescent="0.3">
      <c r="C805" s="6" t="s">
        <v>45243</v>
      </c>
    </row>
    <row r="806" spans="3:3" x14ac:dyDescent="0.3">
      <c r="C806" s="6" t="s">
        <v>45244</v>
      </c>
    </row>
    <row r="807" spans="3:3" x14ac:dyDescent="0.3">
      <c r="C807" s="6" t="s">
        <v>45245</v>
      </c>
    </row>
    <row r="808" spans="3:3" x14ac:dyDescent="0.3">
      <c r="C808" s="6" t="s">
        <v>45246</v>
      </c>
    </row>
    <row r="809" spans="3:3" x14ac:dyDescent="0.3">
      <c r="C809" s="6" t="s">
        <v>45247</v>
      </c>
    </row>
    <row r="810" spans="3:3" x14ac:dyDescent="0.3">
      <c r="C810" s="6" t="s">
        <v>45248</v>
      </c>
    </row>
    <row r="811" spans="3:3" x14ac:dyDescent="0.3">
      <c r="C811" s="6" t="s">
        <v>45249</v>
      </c>
    </row>
    <row r="812" spans="3:3" x14ac:dyDescent="0.3">
      <c r="C812" s="6" t="s">
        <v>45250</v>
      </c>
    </row>
    <row r="813" spans="3:3" x14ac:dyDescent="0.3">
      <c r="C813" s="6" t="s">
        <v>45251</v>
      </c>
    </row>
    <row r="814" spans="3:3" x14ac:dyDescent="0.3">
      <c r="C814" s="6" t="s">
        <v>45252</v>
      </c>
    </row>
    <row r="815" spans="3:3" x14ac:dyDescent="0.3">
      <c r="C815" s="6" t="s">
        <v>45253</v>
      </c>
    </row>
    <row r="816" spans="3:3" x14ac:dyDescent="0.3">
      <c r="C816" s="6" t="s">
        <v>45254</v>
      </c>
    </row>
    <row r="817" spans="3:3" x14ac:dyDescent="0.3">
      <c r="C817" s="6" t="s">
        <v>45255</v>
      </c>
    </row>
    <row r="818" spans="3:3" x14ac:dyDescent="0.3">
      <c r="C818" s="6" t="s">
        <v>45256</v>
      </c>
    </row>
    <row r="819" spans="3:3" x14ac:dyDescent="0.3">
      <c r="C819" s="6" t="s">
        <v>45257</v>
      </c>
    </row>
    <row r="820" spans="3:3" x14ac:dyDescent="0.3">
      <c r="C820" s="6" t="s">
        <v>45258</v>
      </c>
    </row>
    <row r="821" spans="3:3" x14ac:dyDescent="0.3">
      <c r="C821" s="6" t="s">
        <v>45259</v>
      </c>
    </row>
    <row r="822" spans="3:3" x14ac:dyDescent="0.3">
      <c r="C822" s="6" t="s">
        <v>45260</v>
      </c>
    </row>
    <row r="823" spans="3:3" x14ac:dyDescent="0.3">
      <c r="C823" s="6" t="s">
        <v>45261</v>
      </c>
    </row>
    <row r="824" spans="3:3" x14ac:dyDescent="0.3">
      <c r="C824" s="6" t="s">
        <v>45262</v>
      </c>
    </row>
    <row r="825" spans="3:3" x14ac:dyDescent="0.3">
      <c r="C825" s="6" t="s">
        <v>45263</v>
      </c>
    </row>
    <row r="826" spans="3:3" x14ac:dyDescent="0.3">
      <c r="C826" s="6" t="s">
        <v>45264</v>
      </c>
    </row>
    <row r="827" spans="3:3" x14ac:dyDescent="0.3">
      <c r="C827" s="6" t="s">
        <v>45265</v>
      </c>
    </row>
    <row r="828" spans="3:3" x14ac:dyDescent="0.3">
      <c r="C828" s="6" t="s">
        <v>45266</v>
      </c>
    </row>
    <row r="829" spans="3:3" x14ac:dyDescent="0.3">
      <c r="C829" s="6" t="s">
        <v>45267</v>
      </c>
    </row>
    <row r="830" spans="3:3" x14ac:dyDescent="0.3">
      <c r="C830" s="6" t="s">
        <v>45268</v>
      </c>
    </row>
    <row r="831" spans="3:3" x14ac:dyDescent="0.3">
      <c r="C831" s="6" t="s">
        <v>45269</v>
      </c>
    </row>
    <row r="832" spans="3:3" x14ac:dyDescent="0.3">
      <c r="C832" s="6" t="s">
        <v>45270</v>
      </c>
    </row>
    <row r="833" spans="3:4" x14ac:dyDescent="0.3">
      <c r="C833" s="6" t="s">
        <v>45271</v>
      </c>
    </row>
    <row r="834" spans="3:4" x14ac:dyDescent="0.3">
      <c r="C834" s="6" t="s">
        <v>45272</v>
      </c>
    </row>
    <row r="835" spans="3:4" x14ac:dyDescent="0.3">
      <c r="C835" s="6" t="s">
        <v>45273</v>
      </c>
    </row>
    <row r="836" spans="3:4" x14ac:dyDescent="0.3">
      <c r="C836" s="6" t="s">
        <v>45274</v>
      </c>
    </row>
    <row r="837" spans="3:4" x14ac:dyDescent="0.3">
      <c r="C837" s="6" t="s">
        <v>45275</v>
      </c>
    </row>
    <row r="838" spans="3:4" x14ac:dyDescent="0.3">
      <c r="C838" s="6" t="s">
        <v>45276</v>
      </c>
    </row>
    <row r="839" spans="3:4" x14ac:dyDescent="0.3">
      <c r="C839" s="6" t="s">
        <v>45277</v>
      </c>
    </row>
    <row r="840" spans="3:4" x14ac:dyDescent="0.3">
      <c r="C840" s="6" t="s">
        <v>45278</v>
      </c>
    </row>
    <row r="841" spans="3:4" x14ac:dyDescent="0.3">
      <c r="C841" s="6" t="s">
        <v>45279</v>
      </c>
    </row>
    <row r="842" spans="3:4" x14ac:dyDescent="0.3">
      <c r="C842" s="6" t="s">
        <v>45280</v>
      </c>
    </row>
    <row r="843" spans="3:4" x14ac:dyDescent="0.3">
      <c r="C843" s="6" t="s">
        <v>45281</v>
      </c>
    </row>
    <row r="844" spans="3:4" x14ac:dyDescent="0.3">
      <c r="C844" s="6" t="s">
        <v>45282</v>
      </c>
      <c r="D844" t="s">
        <v>45283</v>
      </c>
    </row>
    <row r="845" spans="3:4" x14ac:dyDescent="0.3">
      <c r="C845" s="6" t="s">
        <v>45284</v>
      </c>
      <c r="D845" t="s">
        <v>44244</v>
      </c>
    </row>
    <row r="846" spans="3:4" x14ac:dyDescent="0.3">
      <c r="C846" s="6" t="s">
        <v>45285</v>
      </c>
      <c r="D846" t="s">
        <v>44260</v>
      </c>
    </row>
    <row r="847" spans="3:4" x14ac:dyDescent="0.3">
      <c r="C847" s="6" t="s">
        <v>45286</v>
      </c>
      <c r="D847" t="s">
        <v>44351</v>
      </c>
    </row>
    <row r="848" spans="3:4" x14ac:dyDescent="0.3">
      <c r="C848" s="6" t="s">
        <v>45287</v>
      </c>
      <c r="D848" t="s">
        <v>44356</v>
      </c>
    </row>
    <row r="849" spans="3:3" x14ac:dyDescent="0.3">
      <c r="C849" s="6" t="s">
        <v>45288</v>
      </c>
    </row>
    <row r="850" spans="3:3" x14ac:dyDescent="0.3">
      <c r="C850" s="6" t="s">
        <v>45289</v>
      </c>
    </row>
    <row r="851" spans="3:3" x14ac:dyDescent="0.3">
      <c r="C851" s="6" t="s">
        <v>45290</v>
      </c>
    </row>
    <row r="852" spans="3:3" x14ac:dyDescent="0.3">
      <c r="C852" s="6" t="s">
        <v>45291</v>
      </c>
    </row>
    <row r="853" spans="3:3" x14ac:dyDescent="0.3">
      <c r="C853" s="6" t="s">
        <v>45292</v>
      </c>
    </row>
    <row r="854" spans="3:3" x14ac:dyDescent="0.3">
      <c r="C854" s="6" t="s">
        <v>45293</v>
      </c>
    </row>
    <row r="855" spans="3:3" x14ac:dyDescent="0.3">
      <c r="C855" s="6" t="s">
        <v>45294</v>
      </c>
    </row>
    <row r="856" spans="3:3" x14ac:dyDescent="0.3">
      <c r="C856" s="6" t="s">
        <v>45295</v>
      </c>
    </row>
    <row r="857" spans="3:3" x14ac:dyDescent="0.3">
      <c r="C857" s="6" t="s">
        <v>45296</v>
      </c>
    </row>
    <row r="858" spans="3:3" x14ac:dyDescent="0.3">
      <c r="C858" s="6" t="s">
        <v>45297</v>
      </c>
    </row>
    <row r="859" spans="3:3" x14ac:dyDescent="0.3">
      <c r="C859" s="6" t="s">
        <v>45298</v>
      </c>
    </row>
    <row r="860" spans="3:3" x14ac:dyDescent="0.3">
      <c r="C860" s="6" t="s">
        <v>45299</v>
      </c>
    </row>
    <row r="861" spans="3:3" x14ac:dyDescent="0.3">
      <c r="C861" s="6" t="s">
        <v>45300</v>
      </c>
    </row>
    <row r="862" spans="3:3" x14ac:dyDescent="0.3">
      <c r="C862" s="6" t="s">
        <v>45301</v>
      </c>
    </row>
    <row r="863" spans="3:3" x14ac:dyDescent="0.3">
      <c r="C863" s="6" t="s">
        <v>45302</v>
      </c>
    </row>
    <row r="864" spans="3:3" x14ac:dyDescent="0.3">
      <c r="C864" s="6" t="s">
        <v>45303</v>
      </c>
    </row>
    <row r="865" spans="3:3" x14ac:dyDescent="0.3">
      <c r="C865" s="6" t="s">
        <v>45304</v>
      </c>
    </row>
    <row r="866" spans="3:3" x14ac:dyDescent="0.3">
      <c r="C866" s="6" t="s">
        <v>45305</v>
      </c>
    </row>
    <row r="867" spans="3:3" x14ac:dyDescent="0.3">
      <c r="C867" s="6" t="s">
        <v>45306</v>
      </c>
    </row>
    <row r="868" spans="3:3" x14ac:dyDescent="0.3">
      <c r="C868" s="6" t="s">
        <v>45307</v>
      </c>
    </row>
    <row r="869" spans="3:3" x14ac:dyDescent="0.3">
      <c r="C869" s="6" t="s">
        <v>45308</v>
      </c>
    </row>
    <row r="870" spans="3:3" x14ac:dyDescent="0.3">
      <c r="C870" s="6" t="s">
        <v>45309</v>
      </c>
    </row>
    <row r="871" spans="3:3" x14ac:dyDescent="0.3">
      <c r="C871" s="6" t="s">
        <v>45310</v>
      </c>
    </row>
    <row r="872" spans="3:3" x14ac:dyDescent="0.3">
      <c r="C872" s="6" t="s">
        <v>45311</v>
      </c>
    </row>
    <row r="873" spans="3:3" x14ac:dyDescent="0.3">
      <c r="C873" s="6" t="s">
        <v>45312</v>
      </c>
    </row>
    <row r="874" spans="3:3" x14ac:dyDescent="0.3">
      <c r="C874" s="6" t="s">
        <v>45313</v>
      </c>
    </row>
    <row r="875" spans="3:3" x14ac:dyDescent="0.3">
      <c r="C875" s="6" t="s">
        <v>45314</v>
      </c>
    </row>
    <row r="876" spans="3:3" x14ac:dyDescent="0.3">
      <c r="C876" s="6" t="s">
        <v>45315</v>
      </c>
    </row>
    <row r="877" spans="3:3" x14ac:dyDescent="0.3">
      <c r="C877" s="6" t="s">
        <v>45316</v>
      </c>
    </row>
    <row r="878" spans="3:3" x14ac:dyDescent="0.3">
      <c r="C878" s="6" t="s">
        <v>45317</v>
      </c>
    </row>
    <row r="879" spans="3:3" x14ac:dyDescent="0.3">
      <c r="C879" s="6" t="s">
        <v>45318</v>
      </c>
    </row>
    <row r="880" spans="3:3" x14ac:dyDescent="0.3">
      <c r="C880" s="6" t="s">
        <v>45319</v>
      </c>
    </row>
    <row r="881" spans="3:3" x14ac:dyDescent="0.3">
      <c r="C881" s="6" t="s">
        <v>45320</v>
      </c>
    </row>
    <row r="882" spans="3:3" x14ac:dyDescent="0.3">
      <c r="C882" s="6" t="s">
        <v>45321</v>
      </c>
    </row>
    <row r="883" spans="3:3" x14ac:dyDescent="0.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workbookViewId="0">
      <selection activeCell="A15" sqref="A15"/>
    </sheetView>
  </sheetViews>
  <sheetFormatPr defaultColWidth="9.109375" defaultRowHeight="14.4" x14ac:dyDescent="0.3"/>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75" t="str">
        <f>graphs!A3</f>
        <v>Feb-25</v>
      </c>
      <c r="F1" s="17">
        <f>VLOOKUP(E1,lists!G5:I200,2,FALSE)</f>
        <v>45689</v>
      </c>
      <c r="H1">
        <f>21/80</f>
        <v>0.26250000000000001</v>
      </c>
    </row>
    <row r="2" spans="2:15" x14ac:dyDescent="0.3">
      <c r="H2">
        <f>299/493</f>
        <v>0.60649087221095332</v>
      </c>
      <c r="I2">
        <f>(H1)*(80/573)+(H2)*(493/573)</f>
        <v>0.55846422338568935</v>
      </c>
    </row>
    <row r="3" spans="2:15" x14ac:dyDescent="0.3">
      <c r="D3" t="s">
        <v>45323</v>
      </c>
      <c r="E3" t="s">
        <v>45324</v>
      </c>
      <c r="F3" t="s">
        <v>45325</v>
      </c>
      <c r="G3" t="s">
        <v>21</v>
      </c>
      <c r="J3" t="s">
        <v>19</v>
      </c>
      <c r="M3" t="s">
        <v>45326</v>
      </c>
    </row>
    <row r="4" spans="2:15" x14ac:dyDescent="0.3">
      <c r="D4" t="s">
        <v>45327</v>
      </c>
      <c r="E4" t="str">
        <f>D4&amp;$E$1</f>
        <v>AllAll CombinedFeb-25</v>
      </c>
      <c r="F4" t="s">
        <v>6</v>
      </c>
      <c r="G4" s="8">
        <f>IFERROR(IF(E$1="","",(IF(SUMIF(data2!$A$2:$A$30003,$E4,data2!I$2:I$30003)=0,"",SUMIF(data2!$A$2:$A$30003,$E4,data2!I$2:I$30003)))/IF(SUMIF(data2!$A$2:$A$30003,$E4,data2!J$2:J$30003)=0,"",SUMIF(data2!$A$2:$A$30003,$E4,data2!J$2:J$30003))),0)</f>
        <v>0.6716738197424893</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0.74404761904761907</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0.54166666666666663</v>
      </c>
      <c r="N4" s="94" t="str">
        <f>IFERROR(IF(E$1="","",(IF(SUMIF(data2!$A$2:$A$20003,$E4,data2!P$2:P$20003)=0,"",SUMIF(data2!$A$2:$A$20003,$E4,data2!P$2:P$20003)))),0)</f>
        <v/>
      </c>
      <c r="O4" s="94" t="str">
        <f>IFERROR(IF(E$1="","",(IF(SUMIF(data2!$A$2:$A$20003,$E4,data2!Q$2:Q$20003)=0,"",SUMIF(data2!$A$2:$A$20003,$E4,data2!Q$2:Q$20003)))),0)</f>
        <v/>
      </c>
    </row>
    <row r="5" spans="2:15" x14ac:dyDescent="0.3">
      <c r="B5" t="s">
        <v>44209</v>
      </c>
      <c r="D5" t="s">
        <v>45328</v>
      </c>
      <c r="E5" t="str">
        <f>D5&amp;$E$1</f>
        <v>All ABC ProvidersABC CombinedFeb-25</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x14ac:dyDescent="0.3">
      <c r="B6" t="s">
        <v>44214</v>
      </c>
      <c r="D6" t="s">
        <v>45329</v>
      </c>
      <c r="E6" t="str">
        <f t="shared" ref="E6:E13" si="0">D6&amp;$E$1</f>
        <v>All A-CRA ProvidersA-CRA CombinedFeb-25</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x14ac:dyDescent="0.3">
      <c r="B7" t="s">
        <v>44218</v>
      </c>
      <c r="D7" t="s">
        <v>45331</v>
      </c>
      <c r="E7" t="str">
        <f t="shared" si="0"/>
        <v>All CPP-FV ProvidersCPP-FV CombinedFeb-25</v>
      </c>
      <c r="F7" t="s">
        <v>44218</v>
      </c>
      <c r="G7" s="8">
        <f>IFERROR(IF(E$1="","",(IF(SUMIF(data2!$A$2:$A$30003,$E7,data2!I$2:I$30003)=0,"",SUMIF(data2!$A$2:$A$30003,$E7,data2!I$2:I$30003)))/IF(SUMIF(data2!$A$2:$A$30003,$E7,data2!J$2:J$30003)=0,"",SUMIF(data2!$A$2:$A$30003,$E7,data2!J$2:J$30003))),0)</f>
        <v>0.41666666666666669</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0.9</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0</v>
      </c>
      <c r="N7" s="94" t="str">
        <f>IFERROR(IF(E$1="","",(IF(SUMIF(data2!$A$2:$A$20003,$E7,data2!P$2:P$20003)=0,"",SUMIF(data2!$A$2:$A$20003,$E7,data2!P$2:P$20003)))),0)</f>
        <v/>
      </c>
      <c r="O7" s="94" t="str">
        <f>IFERROR(IF(E$1="","",(IF(SUMIF(data2!$A$2:$A$20003,$E7,data2!Q$2:Q$20003)=0,"",SUMIF(data2!$A$2:$A$20003,$E7,data2!Q$2:Q$20003)))),0)</f>
        <v/>
      </c>
    </row>
    <row r="8" spans="2:15" x14ac:dyDescent="0.3">
      <c r="B8" t="s">
        <v>44222</v>
      </c>
      <c r="D8" t="s">
        <v>45332</v>
      </c>
      <c r="E8" t="str">
        <f t="shared" si="0"/>
        <v>All FFT ProvidersFFT CombinedFeb-25</v>
      </c>
      <c r="F8" t="s">
        <v>44222</v>
      </c>
      <c r="G8" s="8">
        <f>IFERROR(IF(E$1="","",(IF(SUMIF(data2!$A$2:$A$30003,$E8,data2!I$2:I$30003)=0,"",SUMIF(data2!$A$2:$A$30003,$E8,data2!I$2:I$30003)))/IF(SUMIF(data2!$A$2:$A$30003,$E8,data2!J$2:J$30003)=0,"",SUMIF(data2!$A$2:$A$30003,$E8,data2!J$2:J$30003))),0)</f>
        <v>0.72413793103448276</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0.33333333333333331</v>
      </c>
      <c r="N8" s="94" t="str">
        <f>IFERROR(IF(E$1="","",(IF(SUMIF(data2!$A$2:$A$20003,$E8,data2!P$2:P$20003)=0,"",SUMIF(data2!$A$2:$A$20003,$E8,data2!P$2:P$20003)))),0)</f>
        <v/>
      </c>
      <c r="O8" s="94" t="str">
        <f>IFERROR(IF(E$1="","",(IF(SUMIF(data2!$A$2:$A$20003,$E8,data2!Q$2:Q$20003)=0,"",SUMIF(data2!$A$2:$A$20003,$E8,data2!Q$2:Q$20003)))),0)</f>
        <v/>
      </c>
    </row>
    <row r="9" spans="2:15" x14ac:dyDescent="0.3">
      <c r="B9" t="s">
        <v>44226</v>
      </c>
      <c r="D9" t="s">
        <v>45333</v>
      </c>
      <c r="E9" t="str">
        <f t="shared" si="0"/>
        <v>All IHCBS ProvidersIHCBS CombinedFeb-25</v>
      </c>
      <c r="F9" t="s">
        <v>44226</v>
      </c>
      <c r="G9" s="8">
        <f>IFERROR(IF(E$1="","",(IF(SUMIF(data2!$A$2:$A$30003,$E9,data2!I$2:I$30003)=0,"",SUMIF(data2!$A$2:$A$30003,$E9,data2!I$2:I$30003)))/IF(SUMIF(data2!$A$2:$A$30003,$E9,data2!J$2:J$30003)=0,"",SUMIF(data2!$A$2:$A$30003,$E9,data2!J$2:J$30003))),0)</f>
        <v>1.0909090909090908</v>
      </c>
      <c r="H9" s="6"/>
      <c r="I9" s="6"/>
      <c r="J9" s="8">
        <f>IFERROR(IF(E$1="","",(IF(SUMIF(data2!$A$2:$A$30003,$E9,data2!F$2:F$30003)=0,"",SUMIF(data2!$A$2:$A$30003,$E9,data2!F$2:F$30003)))/IF(SUMIF(data2!$A$2:$A$30003,$E9,data2!G$2:G$30003)=0,"",SUMIF(data2!$A$2:$A$30003,$E9,data2!G$2:G$30003))),0)</f>
        <v>0.6875</v>
      </c>
      <c r="K9" s="92"/>
      <c r="L9" s="92"/>
      <c r="M9" s="8">
        <f>IFERROR(IF(E$1="","",(IF(SUMIF(data2!$A$2:$A$30003,$E9,data2!P$2:P$30003)=0,"",SUMIF(data2!$A$2:$A$30003,$E9,data2!P$2:P$30003)))/IF(SUMIF(data2!$A$2:$A$30003,$E9,data2!Q$2:Q$30003)=0,"",SUMIF(data2!$A$2:$A$30003,$E9,data2!Q$2:Q$30003))),0)</f>
        <v>1</v>
      </c>
      <c r="N9" s="94"/>
      <c r="O9" s="94"/>
    </row>
    <row r="10" spans="2:15" x14ac:dyDescent="0.3">
      <c r="B10" t="s">
        <v>44230</v>
      </c>
      <c r="D10" t="s">
        <v>45334</v>
      </c>
      <c r="E10" t="str">
        <f t="shared" si="0"/>
        <v>All MST ProvidersMST CombinedFeb-25</v>
      </c>
      <c r="F10" t="s">
        <v>44230</v>
      </c>
      <c r="G10" s="8">
        <f>IFERROR(IF(E$1="","",(IF(SUMIF(data2!$A$2:$A$30003,$E10,data2!I$2:I$30003)=0,"",SUMIF(data2!$A$2:$A$30003,$E10,data2!I$2:I$30003)))/IF(SUMIF(data2!$A$2:$A$30003,$E10,data2!J$2:J$30003)=0,"",SUMIF(data2!$A$2:$A$30003,$E10,data2!J$2:J$30003))),0)</f>
        <v>1.2</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0.25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0</v>
      </c>
      <c r="N10" s="94" t="str">
        <f>IFERROR(IF(E$1="","",(IF(SUMIF(data2!$A$2:$A$20003,$E10,data2!P$2:P$20003)=0,"",SUMIF(data2!$A$2:$A$20003,$E10,data2!P$2:P$20003)))),0)</f>
        <v/>
      </c>
      <c r="O10" s="94" t="str">
        <f>IFERROR(IF(E$1="","",(IF(SUMIF(data2!$A$2:$A$20003,$E10,data2!Q$2:Q$20003)=0,"",SUMIF(data2!$A$2:$A$20003,$E10,data2!Q$2:Q$20003)))),0)</f>
        <v/>
      </c>
    </row>
    <row r="11" spans="2:15" x14ac:dyDescent="0.3">
      <c r="B11" t="s">
        <v>44234</v>
      </c>
      <c r="D11" t="s">
        <v>45335</v>
      </c>
      <c r="E11" t="str">
        <f t="shared" si="0"/>
        <v>All MST-PSB ProvidersMST-PSB CombinedFeb-25</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x14ac:dyDescent="0.3">
      <c r="B12" t="s">
        <v>44238</v>
      </c>
      <c r="D12" t="s">
        <v>45337</v>
      </c>
      <c r="E12" t="str">
        <f t="shared" si="0"/>
        <v>All PCIT ProvidersPCIT CombinedFeb-25</v>
      </c>
      <c r="F12" t="s">
        <v>44238</v>
      </c>
      <c r="G12" s="8">
        <f>IFERROR(IF(E$1="","",(IF(SUMIF(data2!$A$2:$A$30003,$E12,data2!I$2:I$30003)=0,"",SUMIF(data2!$A$2:$A$30003,$E12,data2!I$2:I$30003)))/IF(SUMIF(data2!$A$2:$A$30003,$E12,data2!J$2:J$30003)=0,"",SUMIF(data2!$A$2:$A$30003,$E12,data2!J$2:J$30003))),0)</f>
        <v>0.2</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0.8571428571428571</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v>
      </c>
      <c r="N12" s="94" t="str">
        <f>IFERROR(IF(E$1="","",(IF(SUMIF(data2!$A$2:$A$20003,$E12,data2!P$2:P$20003)=0,"",SUMIF(data2!$A$2:$A$20003,$E12,data2!P$2:P$20003)))),0)</f>
        <v/>
      </c>
      <c r="O12" s="94" t="str">
        <f>IFERROR(IF(E$1="","",(IF(SUMIF(data2!$A$2:$A$20003,$E12,data2!Q$2:Q$20003)=0,"",SUMIF(data2!$A$2:$A$20003,$E12,data2!Q$2:Q$20003)))),0)</f>
        <v/>
      </c>
    </row>
    <row r="13" spans="2:15" x14ac:dyDescent="0.3">
      <c r="B13" t="s">
        <v>44242</v>
      </c>
      <c r="D13" t="s">
        <v>45338</v>
      </c>
      <c r="E13" t="str">
        <f t="shared" si="0"/>
        <v>All PCIT-T ProvidersPCIT-T CombinedFeb-25</v>
      </c>
      <c r="F13" t="s">
        <v>44242</v>
      </c>
      <c r="G13" s="8">
        <f>IFERROR(IF(E$1="","",(IF(SUMIF(data2!$A$2:$A$30003,$E13,data2!I$2:I$30003)=0,"",SUMIF(data2!$A$2:$A$30003,$E13,data2!I$2:I$30003)))/IF(SUMIF(data2!$A$2:$A$30003,$E13,data2!J$2:J$30003)=0,"",SUMIF(data2!$A$2:$A$30003,$E13,data2!J$2:J$30003))),0)</f>
        <v>0.53846153846153844</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0.7142857142857143</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0</v>
      </c>
      <c r="N13" s="94" t="str">
        <f>IFERROR(IF(E$1="","",(IF(SUMIF(data2!$A$2:$A$20003,$E13,data2!P$2:P$20003)=0,"",SUMIF(data2!$A$2:$A$20003,$E13,data2!P$2:P$20003)))),0)</f>
        <v/>
      </c>
      <c r="O13" s="94" t="str">
        <f>IFERROR(IF(E$1="","",(IF(SUMIF(data2!$A$2:$A$20003,$E13,data2!Q$2:Q$20003)=0,"",SUMIF(data2!$A$2:$A$20003,$E13,data2!Q$2:Q$20003)))),0)</f>
        <v/>
      </c>
    </row>
    <row r="14" spans="2:15" x14ac:dyDescent="0.3">
      <c r="B14" t="s">
        <v>44246</v>
      </c>
      <c r="D14" t="s">
        <v>45339</v>
      </c>
      <c r="E14" t="str">
        <f t="shared" ref="E14:E36" si="1">D14&amp;$E$1</f>
        <v>All SFCR ProvidersSFCR CombinedFeb-25</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x14ac:dyDescent="0.3">
      <c r="B15" t="s">
        <v>44250</v>
      </c>
      <c r="D15" t="s">
        <v>45340</v>
      </c>
      <c r="E15" t="str">
        <f t="shared" si="1"/>
        <v>All TF-CBT ProvidersTF-CBT CombinedFeb-25</v>
      </c>
      <c r="F15" t="s">
        <v>44250</v>
      </c>
      <c r="G15" s="8">
        <f>IFERROR(IF(E$1="","",(IF(SUMIF(data2!$A$2:$A$30003,$E15,data2!I$2:I$30003)=0,"",SUMIF(data2!$A$2:$A$30003,$E15,data2!I$2:I$30003)))/IF(SUMIF(data2!$A$2:$A$30003,$E15,data2!J$2:J$30003)=0,"",SUMIF(data2!$A$2:$A$30003,$E15,data2!J$2:J$30003))),0)</f>
        <v>0.53488372093023251</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0.57692307692307687</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0.75</v>
      </c>
      <c r="N15" s="94" t="str">
        <f>IFERROR(IF(E$1="","",(IF(SUMIF(data2!$A$2:$A$20003,$E15,data2!P$2:P$20003)=0,"",SUMIF(data2!$A$2:$A$20003,$E15,data2!P$2:P$20003)))),0)</f>
        <v/>
      </c>
      <c r="O15" s="94" t="str">
        <f>IFERROR(IF(E$1="","",(IF(SUMIF(data2!$A$2:$A$20003,$E15,data2!Q$2:Q$20003)=0,"",SUMIF(data2!$A$2:$A$20003,$E15,data2!Q$2:Q$20003)))),0)</f>
        <v/>
      </c>
    </row>
    <row r="16" spans="2:15" x14ac:dyDescent="0.3">
      <c r="B16" t="s">
        <v>44254</v>
      </c>
      <c r="D16" t="s">
        <v>45341</v>
      </c>
      <c r="E16" t="str">
        <f t="shared" si="1"/>
        <v>All TIP ProvidersTIP CombinedFeb-25</v>
      </c>
      <c r="F16" t="s">
        <v>44254</v>
      </c>
      <c r="G16" s="8">
        <f>IFERROR(IF(E$1="","",(IF(SUMIF(data2!$A$2:$A$30003,$E16,data2!I$2:I$30003)=0,"",SUMIF(data2!$A$2:$A$30003,$E16,data2!I$2:I$30003)))/IF(SUMIF(data2!$A$2:$A$30003,$E16,data2!J$2:J$30003)=0,"",SUMIF(data2!$A$2:$A$30003,$E16,data2!J$2:J$30003))),0)</f>
        <v>0.66666666666666663</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0.85964912280701755</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0.44444444444444442</v>
      </c>
      <c r="N16" s="94" t="str">
        <f>IFERROR(IF(E$1="","",(IF(SUMIF(data2!$A$2:$A$20003,$E16,data2!P$2:P$20003)=0,"",SUMIF(data2!$A$2:$A$20003,$E16,data2!P$2:P$20003)))),0)</f>
        <v/>
      </c>
      <c r="O16" s="94" t="str">
        <f>IFERROR(IF(E$1="","",(IF(SUMIF(data2!$A$2:$A$20003,$E16,data2!Q$2:Q$20003)=0,"",SUMIF(data2!$A$2:$A$20003,$E16,data2!Q$2:Q$20003)))),0)</f>
        <v/>
      </c>
    </row>
    <row r="17" spans="2:15" x14ac:dyDescent="0.3">
      <c r="B17" t="s">
        <v>44258</v>
      </c>
      <c r="D17" t="s">
        <v>45342</v>
      </c>
      <c r="E17" t="str">
        <f t="shared" si="1"/>
        <v>All TST ProvidersTST CombinedFeb-25</v>
      </c>
      <c r="F17" t="s">
        <v>44258</v>
      </c>
      <c r="G17" s="8">
        <f>IFERROR(IF(E$1="","",(IF(SUMIF(data2!$A$2:$A$30003,$E17,data2!I$2:I$30003)=0,"",SUMIF(data2!$A$2:$A$30003,$E17,data2!I$2:I$30003)))/IF(SUMIF(data2!$A$2:$A$30003,$E17,data2!J$2:J$30003)=0,"",SUMIF(data2!$A$2:$A$30003,$E17,data2!J$2:J$30003))),0)</f>
        <v>0.65</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1.4</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1</v>
      </c>
      <c r="N17" s="94" t="str">
        <f>IFERROR(IF(E$1="","",(IF(SUMIF(data2!$A$2:$A$20003,$E17,data2!P$2:P$20003)=0,"",SUMIF(data2!$A$2:$A$20003,$E17,data2!P$2:P$20003)))),0)</f>
        <v/>
      </c>
      <c r="O17" s="94" t="str">
        <f>IFERROR(IF(E$1="","",(IF(SUMIF(data2!$A$2:$A$20003,$E17,data2!Q$2:Q$20003)=0,"",SUMIF(data2!$A$2:$A$20003,$E17,data2!Q$2:Q$20003)))),0)</f>
        <v/>
      </c>
    </row>
    <row r="18" spans="2:15" x14ac:dyDescent="0.3">
      <c r="D18" t="s">
        <v>45343</v>
      </c>
      <c r="E18" t="str">
        <f t="shared" si="1"/>
        <v>Adoptions TogetherAll CombinedFeb-25</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x14ac:dyDescent="0.3">
      <c r="D19" t="s">
        <v>45345</v>
      </c>
      <c r="E19" t="str">
        <f t="shared" si="1"/>
        <v>CatholicAll CombinedFeb-25</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x14ac:dyDescent="0.3">
      <c r="D20" t="s">
        <v>45347</v>
      </c>
      <c r="E20" t="str">
        <f t="shared" si="1"/>
        <v>Community ConnectionsAll CombinedFeb-25</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x14ac:dyDescent="0.3">
      <c r="D21" t="s">
        <v>45349</v>
      </c>
      <c r="E21" t="str">
        <f t="shared" si="1"/>
        <v>ContemporaryAll CombinedFeb-25</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x14ac:dyDescent="0.3">
      <c r="D22" t="s">
        <v>45351</v>
      </c>
      <c r="E22" t="str">
        <f t="shared" si="1"/>
        <v>DBH Parent Support CombinedFeb-25</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x14ac:dyDescent="0.3">
      <c r="D23" t="s">
        <v>45353</v>
      </c>
      <c r="E23" t="str">
        <f t="shared" si="1"/>
        <v>Family MattersAll CombinedFeb-25</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x14ac:dyDescent="0.3">
      <c r="D24" t="s">
        <v>45355</v>
      </c>
      <c r="E24" t="str">
        <f t="shared" si="1"/>
        <v>Federal CityAll CombinedFeb-25</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x14ac:dyDescent="0.3">
      <c r="D25" t="s">
        <v>45357</v>
      </c>
      <c r="E25" t="str">
        <f t="shared" si="1"/>
        <v>First Home CareAll CombinedFeb-25</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x14ac:dyDescent="0.3">
      <c r="D26" t="s">
        <v>45359</v>
      </c>
      <c r="E26" t="str">
        <f t="shared" si="1"/>
        <v>Foundations for Home &amp; CommunityAll CombinedFeb-25</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x14ac:dyDescent="0.3">
      <c r="D27" t="s">
        <v>45360</v>
      </c>
      <c r="E27" t="str">
        <f t="shared" si="1"/>
        <v>FPSAll CombinedFeb-25</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x14ac:dyDescent="0.3">
      <c r="D28" t="s">
        <v>45362</v>
      </c>
      <c r="E28" t="str">
        <f t="shared" si="1"/>
        <v>Green DoorAll CombinedFeb-25</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x14ac:dyDescent="0.3">
      <c r="D29" t="s">
        <v>45364</v>
      </c>
      <c r="E29" t="str">
        <f t="shared" si="1"/>
        <v>Healthy Futures CombinedFeb-25</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x14ac:dyDescent="0.3">
      <c r="D30" t="s">
        <v>45366</v>
      </c>
      <c r="E30" t="str">
        <f t="shared" si="1"/>
        <v>HillcrestAll CombinedFeb-25</v>
      </c>
      <c r="F30" t="s">
        <v>45367</v>
      </c>
      <c r="G30" s="8">
        <f>IFERROR(IF(E$1="","",(IF(SUMIF(data2!$A$2:$A$30003,$E30,data2!I$2:I$30003)=0,"",SUMIF(data2!$A$2:$A$30003,$E30,data2!I$2:I$30003)))/IF(SUMIF(data2!$A$2:$A$30003,$E30,data2!J$2:J$30003)=0,"",SUMIF(data2!$A$2:$A$30003,$E30,data2!J$2:J$30003))),0)</f>
        <v>0.87755102040816324</v>
      </c>
      <c r="H30" s="6">
        <f>IFERROR(IF(E$1="","",(IF(SUMIF(data2!$A$2:$A$30003,$E30,data2!I$2:I$30003)=0,"",SUMIF(data2!$A$2:$A$30003,$E30,data2!I$2:I$30003)))),0)</f>
        <v>43</v>
      </c>
      <c r="I30" s="6">
        <f>IFERROR(IF(E$1="","",(IF(SUMIF(data2!$A$2:$A$30003,$E30,data2!J$2:J$30003)=0,"",SUMIF(data2!$A$2:$A$30003,$E30,data2!J$2:J$30003)))),0)</f>
        <v>49</v>
      </c>
      <c r="J30" s="8">
        <f>IFERROR(IF(E$1="","",(IF(SUMIF(data2!$A$2:$A$30003,$E30,data2!F$2:F$30003)=0,"",SUMIF(data2!$A$2:$A$30003,$E30,data2!F$2:F$30003)))/IF(SUMIF(data2!$A$2:$A$30003,$E30,data2!G$2:G$30003)=0,"",SUMIF(data2!$A$2:$A$30003,$E30,data2!G$2:G$30003))),0)</f>
        <v>0.82608695652173914</v>
      </c>
      <c r="K30" s="92">
        <f>IFERROR(IF(E$1="","",(IF(SUMIF(data2!$A$2:$A$30003,$E30,data2!F$2:F$30003)=0,"",SUMIF(data2!$A$2:$A$30003,$E30,data2!F$2:F$30003)))),0)</f>
        <v>9.5</v>
      </c>
      <c r="L30" s="92">
        <f>IFERROR(IF(E$1="","",(IF(SUMIF(data2!$A$2:$A$30003,$E30,data2!G$2:G$30003)=0,"",SUMIF(data2!$A$2:$A$30003,$E30,data2!G$2:G$30003)))),0)</f>
        <v>11.5</v>
      </c>
      <c r="M30" s="8">
        <f>IFERROR(IF(E$1="","",(IF(SUMIF(data2!$A$2:$A$30003,$E30,data2!P$2:P$30003)=0,"",SUMIF(data2!$A$2:$A$30003,$E30,data2!P$2:P$30003)))/IF(SUMIF(data2!$A$2:$A$30003,$E30,data2!Q$2:Q$30003)=0,"",SUMIF(data2!$A$2:$A$30003,$E30,data2!Q$2:Q$30003))),0)</f>
        <v>1</v>
      </c>
      <c r="N30" s="94" t="str">
        <f>IFERROR(IF(E$1="","",(IF(SUMIF(data2!$A$2:$A$20003,$E30,data2!P$2:P$20003)=0,"",SUMIF(data2!$A$2:$A$20003,$E30,data2!P$2:P$20003)))),0)</f>
        <v/>
      </c>
      <c r="O30" s="94" t="str">
        <f>IFERROR(IF(E$1="","",(IF(SUMIF(data2!$A$2:$A$20003,$E30,data2!Q$2:Q$20003)=0,"",SUMIF(data2!$A$2:$A$20003,$E30,data2!Q$2:Q$20003)))),0)</f>
        <v/>
      </c>
    </row>
    <row r="31" spans="2:15" x14ac:dyDescent="0.3">
      <c r="D31" t="s">
        <v>45368</v>
      </c>
      <c r="E31" t="str">
        <f t="shared" si="1"/>
        <v>LAYCAll CombinedFeb-25</v>
      </c>
      <c r="F31" t="s">
        <v>44275</v>
      </c>
      <c r="G31" s="8">
        <f>IFERROR(IF(E$1="","",(IF(SUMIF(data2!$A$2:$A$30003,$E31,data2!I$2:I$30003)=0,"",SUMIF(data2!$A$2:$A$30003,$E31,data2!I$2:I$30003)))/IF(SUMIF(data2!$A$2:$A$30003,$E31,data2!J$2:J$30003)=0,"",SUMIF(data2!$A$2:$A$30003,$E31,data2!J$2:J$30003))),0)</f>
        <v>0.46666666666666667</v>
      </c>
      <c r="H31" s="6">
        <f>IFERROR(IF(E$1="","",(IF(SUMIF(data2!$A$2:$A$30003,$E31,data2!I$2:I$30003)=0,"",SUMIF(data2!$A$2:$A$30003,$E31,data2!I$2:I$30003)))),0)</f>
        <v>7</v>
      </c>
      <c r="I31" s="6">
        <f>IFERROR(IF(E$1="","",(IF(SUMIF(data2!$A$2:$A$30003,$E31,data2!J$2:J$30003)=0,"",SUMIF(data2!$A$2:$A$30003,$E31,data2!J$2:J$30003)))),0)</f>
        <v>15</v>
      </c>
      <c r="J31" s="8">
        <f>IFERROR(IF(E$1="","",(IF(SUMIF(data2!$A$2:$A$30003,$E31,data2!F$2:F$30003)=0,"",SUMIF(data2!$A$2:$A$30003,$E31,data2!F$2:F$30003)))/IF(SUMIF(data2!$A$2:$A$30003,$E31,data2!G$2:G$30003)=0,"",SUMIF(data2!$A$2:$A$30003,$E31,data2!G$2:G$30003))),0)</f>
        <v>0.7142857142857143</v>
      </c>
      <c r="K31" s="92">
        <f>IFERROR(IF(E$1="","",(IF(SUMIF(data2!$A$2:$A$30003,$E31,data2!F$2:F$30003)=0,"",SUMIF(data2!$A$2:$A$30003,$E31,data2!F$2:F$30003)))),0)</f>
        <v>2.5</v>
      </c>
      <c r="L31" s="92">
        <f>IFERROR(IF(E$1="","",(IF(SUMIF(data2!$A$2:$A$30003,$E31,data2!G$2:G$30003)=0,"",SUMIF(data2!$A$2:$A$30003,$E31,data2!G$2:G$30003)))),0)</f>
        <v>3.5</v>
      </c>
      <c r="M31" s="8">
        <f>IFERROR(IF(E$1="","",(IF(SUMIF(data2!$A$2:$A$30003,$E31,data2!P$2:P$30003)=0,"",SUMIF(data2!$A$2:$A$30003,$E31,data2!P$2:P$30003)))/IF(SUMIF(data2!$A$2:$A$30003,$E31,data2!Q$2:Q$30003)=0,"",SUMIF(data2!$A$2:$A$30003,$E31,data2!Q$2:Q$30003))),0)</f>
        <v>0.75</v>
      </c>
      <c r="N31" s="94" t="str">
        <f>IFERROR(IF(E$1="","",(IF(SUMIF(data2!$A$2:$A$20003,$E31,data2!P$2:P$20003)=0,"",SUMIF(data2!$A$2:$A$20003,$E31,data2!P$2:P$20003)))),0)</f>
        <v/>
      </c>
      <c r="O31" s="94" t="str">
        <f>IFERROR(IF(E$1="","",(IF(SUMIF(data2!$A$2:$A$20003,$E31,data2!Q$2:Q$20003)=0,"",SUMIF(data2!$A$2:$A$20003,$E31,data2!Q$2:Q$20003)))),0)</f>
        <v/>
      </c>
    </row>
    <row r="32" spans="2:15" x14ac:dyDescent="0.3">
      <c r="D32" t="s">
        <v>45369</v>
      </c>
      <c r="E32" t="str">
        <f t="shared" si="1"/>
        <v>LCSAll CombinedFeb-25</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x14ac:dyDescent="0.3">
      <c r="D33" t="s">
        <v>45371</v>
      </c>
      <c r="E33" t="str">
        <f t="shared" si="1"/>
        <v>LESAll CombinedFeb-25</v>
      </c>
      <c r="F33" t="s">
        <v>44281</v>
      </c>
      <c r="G33" s="8">
        <f>IFERROR(IF(E$1="","",(IF(SUMIF(data2!$A$2:$A$30003,$E33,data2!I$2:I$30003)=0,"",SUMIF(data2!$A$2:$A$30003,$E33,data2!I$2:I$30003)))/IF(SUMIF(data2!$A$2:$A$30003,$E33,data2!J$2:J$30003)=0,"",SUMIF(data2!$A$2:$A$30003,$E33,data2!J$2:J$30003))),0)</f>
        <v>0.31428571428571428</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2">
        <f>IFERROR(IF(E$1="","",(IF(SUMIF(data2!$A$2:$A$30003,$E33,data2!F$2:F$30003)=0,"",SUMIF(data2!$A$2:$A$30003,$E33,data2!F$2:F$30003)))),0)</f>
        <v>2.5</v>
      </c>
      <c r="L33" s="92">
        <f>IFERROR(IF(E$1="","",(IF(SUMIF(data2!$A$2:$A$30003,$E33,data2!G$2:G$30003)=0,"",SUMIF(data2!$A$2:$A$30003,$E33,data2!G$2:G$30003)))),0)</f>
        <v>2.5</v>
      </c>
      <c r="M33" s="8">
        <f>IFERROR(IF(E$1="","",(IF(SUMIF(data2!$A$2:$A$30003,$E33,data2!P$2:P$30003)=0,"",SUMIF(data2!$A$2:$A$30003,$E33,data2!P$2:P$30003)))/IF(SUMIF(data2!$A$2:$A$30003,$E33,data2!Q$2:Q$30003)=0,"",SUMIF(data2!$A$2:$A$30003,$E33,data2!Q$2:Q$30003))),0)</f>
        <v>0</v>
      </c>
      <c r="N33" s="94" t="str">
        <f>IFERROR(IF(E$1="","",(IF(SUMIF(data2!$A$2:$A$20003,$E33,data2!P$2:P$20003)=0,"",SUMIF(data2!$A$2:$A$20003,$E33,data2!P$2:P$20003)))),0)</f>
        <v/>
      </c>
      <c r="O33" s="94" t="str">
        <f>IFERROR(IF(E$1="","",(IF(SUMIF(data2!$A$2:$A$20003,$E33,data2!Q$2:Q$20003)=0,"",SUMIF(data2!$A$2:$A$20003,$E33,data2!Q$2:Q$20003)))),0)</f>
        <v/>
      </c>
    </row>
    <row r="34" spans="2:15" x14ac:dyDescent="0.3">
      <c r="D34" t="s">
        <v>45372</v>
      </c>
      <c r="E34" t="str">
        <f t="shared" si="1"/>
        <v>Marys CenterAll CombinedFeb-25</v>
      </c>
      <c r="F34" t="s">
        <v>45373</v>
      </c>
      <c r="G34" s="8">
        <f>IFERROR(IF(E$1="","",(IF(SUMIF(data2!$A$2:$A$30003,$E34,data2!I$2:I$30003)=0,"",SUMIF(data2!$A$2:$A$30003,$E34,data2!I$2:I$30003)))/IF(SUMIF(data2!$A$2:$A$30003,$E34,data2!J$2:J$30003)=0,"",SUMIF(data2!$A$2:$A$30003,$E34,data2!J$2:J$30003))),0)</f>
        <v>0.30434782608695654</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0.61538461538461542</v>
      </c>
      <c r="K34" s="92">
        <f>IFERROR(IF(E$1="","",(IF(SUMIF(data2!$A$2:$A$30003,$E34,data2!F$2:F$30003)=0,"",SUMIF(data2!$A$2:$A$30003,$E34,data2!F$2:F$30003)))),0)</f>
        <v>4</v>
      </c>
      <c r="L34" s="92">
        <f>IFERROR(IF(E$1="","",(IF(SUMIF(data2!$A$2:$A$30003,$E34,data2!G$2:G$30003)=0,"",SUMIF(data2!$A$2:$A$30003,$E34,data2!G$2:G$30003)))),0)</f>
        <v>6.5</v>
      </c>
      <c r="M34" s="8">
        <f>IFERROR(IF(E$1="","",(IF(SUMIF(data2!$A$2:$A$30003,$E34,data2!P$2:P$30003)=0,"",SUMIF(data2!$A$2:$A$30003,$E34,data2!P$2:P$30003)))/IF(SUMIF(data2!$A$2:$A$30003,$E34,data2!Q$2:Q$30003)=0,"",SUMIF(data2!$A$2:$A$30003,$E34,data2!Q$2:Q$30003))),0)</f>
        <v>0</v>
      </c>
      <c r="N34" s="94" t="str">
        <f>IFERROR(IF(E$1="","",(IF(SUMIF(data2!$A$2:$A$20003,$E34,data2!P$2:P$20003)=0,"",SUMIF(data2!$A$2:$A$20003,$E34,data2!P$2:P$20003)))),0)</f>
        <v/>
      </c>
      <c r="O34" s="94" t="str">
        <f>IFERROR(IF(E$1="","",(IF(SUMIF(data2!$A$2:$A$20003,$E34,data2!Q$2:Q$20003)=0,"",SUMIF(data2!$A$2:$A$20003,$E34,data2!Q$2:Q$20003)))),0)</f>
        <v/>
      </c>
    </row>
    <row r="35" spans="2:15" x14ac:dyDescent="0.3">
      <c r="D35" t="s">
        <v>45374</v>
      </c>
      <c r="E35" t="str">
        <f t="shared" si="1"/>
        <v>MBI HSAll CombinedFeb-25</v>
      </c>
      <c r="F35" t="s">
        <v>45375</v>
      </c>
      <c r="G35" s="8">
        <f>IFERROR(IF(E$1="","",(IF(SUMIF(data2!$A$2:$A$30003,$E35,data2!I$2:I$30003)=0,"",SUMIF(data2!$A$2:$A$30003,$E35,data2!I$2:I$30003)))/IF(SUMIF(data2!$A$2:$A$30003,$E35,data2!J$2:J$30003)=0,"",SUMIF(data2!$A$2:$A$30003,$E35,data2!J$2:J$30003))),0)</f>
        <v>0.55913978494623651</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0.66666666666666663</v>
      </c>
      <c r="K35" s="92">
        <f>IFERROR(IF(E$1="","",(IF(SUMIF(data2!$A$2:$A$30003,$E35,data2!F$2:F$30003)=0,"",SUMIF(data2!$A$2:$A$30003,$E35,data2!F$2:F$30003)))),0)</f>
        <v>10</v>
      </c>
      <c r="L35" s="92">
        <f>IFERROR(IF(E$1="","",(IF(SUMIF(data2!$A$2:$A$30003,$E35,data2!G$2:G$30003)=0,"",SUMIF(data2!$A$2:$A$30003,$E35,data2!G$2:G$30003)))),0)</f>
        <v>15</v>
      </c>
      <c r="M35" s="8">
        <f>IFERROR(IF(E$1="","",(IF(SUMIF(data2!$A$2:$A$30003,$E35,data2!P$2:P$30003)=0,"",SUMIF(data2!$A$2:$A$30003,$E35,data2!P$2:P$30003)))/IF(SUMIF(data2!$A$2:$A$30003,$E35,data2!Q$2:Q$30003)=0,"",SUMIF(data2!$A$2:$A$30003,$E35,data2!Q$2:Q$30003))),0)</f>
        <v>0</v>
      </c>
      <c r="N35" s="94" t="str">
        <f>IFERROR(IF(E$1="","",(IF(SUMIF(data2!$A$2:$A$20003,$E35,data2!P$2:P$20003)=0,"",SUMIF(data2!$A$2:$A$20003,$E35,data2!P$2:P$20003)))),0)</f>
        <v/>
      </c>
      <c r="O35" s="94" t="str">
        <f>IFERROR(IF(E$1="","",(IF(SUMIF(data2!$A$2:$A$20003,$E35,data2!Q$2:Q$20003)=0,"",SUMIF(data2!$A$2:$A$20003,$E35,data2!Q$2:Q$20003)))),0)</f>
        <v/>
      </c>
    </row>
    <row r="36" spans="2:15" x14ac:dyDescent="0.3">
      <c r="D36" t="s">
        <v>45376</v>
      </c>
      <c r="E36" t="str">
        <f t="shared" si="1"/>
        <v>MD Family ResourcesAll CombinedFeb-25</v>
      </c>
      <c r="F36" t="s">
        <v>45377</v>
      </c>
      <c r="G36" s="8">
        <f>IFERROR(IF(E$1="","",(IF(SUMIF(data2!$A$2:$A$30003,$E36,data2!I$2:I$30003)=0,"",SUMIF(data2!$A$2:$A$30003,$E36,data2!I$2:I$30003)))/IF(SUMIF(data2!$A$2:$A$30003,$E36,data2!J$2:J$30003)=0,"",SUMIF(data2!$A$2:$A$30003,$E36,data2!J$2:J$30003))),0)</f>
        <v>0.36363636363636365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0.23529411764705882</v>
      </c>
      <c r="K36" s="92">
        <f>IFERROR(IF(E$1="","",(IF(SUMIF(data2!$A$2:$A$30003,$E36,data2!F$2:F$30003)=0,"",SUMIF(data2!$A$2:$A$30003,$E36,data2!F$2:F$30003)))),0)</f>
        <v>2</v>
      </c>
      <c r="L36" s="92">
        <f>IFERROR(IF(E$1="","",(IF(SUMIF(data2!$A$2:$A$30003,$E36,data2!G$2:G$30003)=0,"",SUMIF(data2!$A$2:$A$30003,$E36,data2!G$2:G$30003)))),0)</f>
        <v>8.5</v>
      </c>
      <c r="M36" s="8">
        <f>IFERROR(IF(E$1="","",(IF(SUMIF(data2!$A$2:$A$30003,$E36,data2!P$2:P$30003)=0,"",SUMIF(data2!$A$2:$A$30003,$E36,data2!P$2:P$30003)))/IF(SUMIF(data2!$A$2:$A$30003,$E36,data2!Q$2:Q$30003)=0,"",SUMIF(data2!$A$2:$A$30003,$E36,data2!Q$2:Q$30003))),0)</f>
        <v>0</v>
      </c>
      <c r="N36" s="94" t="str">
        <f>IFERROR(IF(E$1="","",(IF(SUMIF(data2!$A$2:$A$20003,$E36,data2!P$2:P$20003)=0,"",SUMIF(data2!$A$2:$A$20003,$E36,data2!P$2:P$20003)))),0)</f>
        <v/>
      </c>
      <c r="O36" s="94" t="str">
        <f>IFERROR(IF(E$1="","",(IF(SUMIF(data2!$A$2:$A$20003,$E36,data2!Q$2:Q$20003)=0,"",SUMIF(data2!$A$2:$A$20003,$E36,data2!Q$2:Q$20003)))),0)</f>
        <v/>
      </c>
    </row>
    <row r="37" spans="2:15" x14ac:dyDescent="0.3">
      <c r="D37" t="s">
        <v>45378</v>
      </c>
      <c r="E37" t="str">
        <f t="shared" ref="E37:E107" si="2">D37&amp;$E$1</f>
        <v>Medstar GeorgetownAll CombinedFeb-25</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x14ac:dyDescent="0.3">
      <c r="D38" t="s">
        <v>45380</v>
      </c>
      <c r="E38" t="str">
        <f t="shared" si="2"/>
        <v>PASSAll CombinedFeb-25</v>
      </c>
      <c r="F38" t="s">
        <v>44303</v>
      </c>
      <c r="G38" s="8">
        <f>IFERROR(IF(E$1="","",(IF(SUMIF(data2!$A$2:$A$30003,$E38,data2!I$2:I$30003)=0,"",SUMIF(data2!$A$2:$A$30003,$E38,data2!I$2:I$30003)))/IF(SUMIF(data2!$A$2:$A$30003,$E38,data2!J$2:J$30003)=0,"",SUMIF(data2!$A$2:$A$30003,$E38,data2!J$2:J$30003))),0)</f>
        <v>1.2682926829268293</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0.69230769230769229</v>
      </c>
      <c r="K38" s="92">
        <f>IFERROR(IF(E$1="","",(IF(SUMIF(data2!$A$2:$A$30003,$E38,data2!F$2:F$30003)=0,"",SUMIF(data2!$A$2:$A$30003,$E38,data2!F$2:F$30003)))),0)</f>
        <v>9</v>
      </c>
      <c r="L38" s="92">
        <f>IFERROR(IF(E$1="","",(IF(SUMIF(data2!$A$2:$A$30003,$E38,data2!G$2:G$30003)=0,"",SUMIF(data2!$A$2:$A$30003,$E38,data2!G$2:G$30003)))),0)</f>
        <v>13</v>
      </c>
      <c r="M38" s="8">
        <f>IFERROR(IF(E$1="","",(IF(SUMIF(data2!$A$2:$A$30003,$E38,data2!P$2:P$30003)=0,"",SUMIF(data2!$A$2:$A$30003,$E38,data2!P$2:P$30003)))/IF(SUMIF(data2!$A$2:$A$30003,$E38,data2!Q$2:Q$30003)=0,"",SUMIF(data2!$A$2:$A$30003,$E38,data2!Q$2:Q$30003))),0)</f>
        <v>0.5</v>
      </c>
      <c r="N38" s="94" t="str">
        <f>IFERROR(IF(E$1="","",(IF(SUMIF(data2!$A$2:$A$20003,$E38,data2!P$2:P$20003)=0,"",SUMIF(data2!$A$2:$A$20003,$E38,data2!P$2:P$20003)))),0)</f>
        <v/>
      </c>
      <c r="O38" s="94" t="str">
        <f>IFERROR(IF(E$1="","",(IF(SUMIF(data2!$A$2:$A$20003,$E38,data2!Q$2:Q$20003)=0,"",SUMIF(data2!$A$2:$A$20003,$E38,data2!Q$2:Q$20003)))),0)</f>
        <v/>
      </c>
    </row>
    <row r="39" spans="2:15" x14ac:dyDescent="0.3">
      <c r="D39" t="s">
        <v>45381</v>
      </c>
      <c r="E39" t="str">
        <f t="shared" si="2"/>
        <v>PIECEAll CombinedFeb-25</v>
      </c>
      <c r="F39" t="s">
        <v>44356</v>
      </c>
      <c r="G39" s="8">
        <f>IFERROR(IF(E$1="","",(IF(SUMIF(data2!$A$2:$A$30003,$E39,data2!I$2:I$30003)=0,"",SUMIF(data2!$A$2:$A$30003,$E39,data2!I$2:I$30003)))/IF(SUMIF(data2!$A$2:$A$30003,$E39,data2!J$2:J$30003)=0,"",SUMIF(data2!$A$2:$A$30003,$E39,data2!J$2:J$30003))),0)</f>
        <v>0.44827586206896552</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1.0909090909090908</v>
      </c>
      <c r="K39" s="92">
        <f>IFERROR(IF(E$1="","",(IF(SUMIF(data2!$A$2:$A$30003,$E39,data2!F$2:F$30003)=0,"",SUMIF(data2!$A$2:$A$30003,$E39,data2!F$2:F$30003)))),0)</f>
        <v>6</v>
      </c>
      <c r="L39" s="92">
        <f>IFERROR(IF(E$1="","",(IF(SUMIF(data2!$A$2:$A$30003,$E39,data2!G$2:G$30003)=0,"",SUMIF(data2!$A$2:$A$30003,$E39,data2!G$2:G$30003)))),0)</f>
        <v>5.5</v>
      </c>
      <c r="M39" s="8">
        <f>IFERROR(IF(E$1="","",(IF(SUMIF(data2!$A$2:$A$30003,$E39,data2!P$2:P$30003)=0,"",SUMIF(data2!$A$2:$A$30003,$E39,data2!P$2:P$30003)))/IF(SUMIF(data2!$A$2:$A$30003,$E39,data2!Q$2:Q$30003)=0,"",SUMIF(data2!$A$2:$A$30003,$E39,data2!Q$2:Q$30003))),0)</f>
        <v>0</v>
      </c>
      <c r="N39" s="94" t="str">
        <f>IFERROR(IF(E$1="","",(IF(SUMIF(data2!$A$2:$A$20003,$E39,data2!P$2:P$20003)=0,"",SUMIF(data2!$A$2:$A$20003,$E39,data2!P$2:P$20003)))),0)</f>
        <v/>
      </c>
      <c r="O39" s="94" t="str">
        <f>IFERROR(IF(E$1="","",(IF(SUMIF(data2!$A$2:$A$20003,$E39,data2!Q$2:Q$20003)=0,"",SUMIF(data2!$A$2:$A$20003,$E39,data2!Q$2:Q$20003)))),0)</f>
        <v/>
      </c>
    </row>
    <row r="40" spans="2:15" x14ac:dyDescent="0.3">
      <c r="D40" t="s">
        <v>45382</v>
      </c>
      <c r="E40" t="str">
        <f t="shared" si="2"/>
        <v>RiversideAll CombinedFeb-25</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x14ac:dyDescent="0.3">
      <c r="D41" t="s">
        <v>45384</v>
      </c>
      <c r="E41" t="str">
        <f t="shared" si="2"/>
        <v>TFCCAll CombinedFeb-25</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x14ac:dyDescent="0.3">
      <c r="D42" t="s">
        <v>45388</v>
      </c>
      <c r="E42" t="str">
        <f t="shared" si="2"/>
        <v>UniversalAll CombinedFeb-25</v>
      </c>
      <c r="F42" t="s">
        <v>45389</v>
      </c>
      <c r="G42" s="8">
        <f>IFERROR(IF(E$1="","",(IF(SUMIF(data2!$A$2:$A$30003,$E42,data2!I$2:I$30003)=0,"",SUMIF(data2!$A$2:$A$30003,$E42,data2!I$2:I$30003)))/IF(SUMIF(data2!$A$2:$A$30003,$E42,data2!J$2:J$30003)=0,"",SUMIF(data2!$A$2:$A$30003,$E42,data2!J$2:J$30003))),0)</f>
        <v>0</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v>
      </c>
      <c r="K42" s="92" t="str">
        <f>IFERROR(IF(E$1="","",(IF(SUMIF(data2!$A$2:$A$30003,$E42,data2!F$2:F$30003)=0,"",SUMIF(data2!$A$2:$A$30003,$E42,data2!F$2:F$30003)))),0)</f>
        <v/>
      </c>
      <c r="L42" s="92" t="str">
        <f>IFERROR(IF(E$1="","",(IF(SUMIF(data2!$A$2:$A$30003,$E42,data2!G$2:G$30003)=0,"",SUMIF(data2!$A$2:$A$30003,$E42,data2!G$2:G$30003)))),0)</f>
        <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x14ac:dyDescent="0.3">
      <c r="D43" t="s">
        <v>45390</v>
      </c>
      <c r="E43" t="str">
        <f t="shared" si="2"/>
        <v>Wayne PlaceAll CombinedFeb-25</v>
      </c>
      <c r="F43" t="s">
        <v>45391</v>
      </c>
      <c r="G43" s="8">
        <f>IFERROR(IF(E$1="","",(IF(SUMIF(data2!$A$2:$A$30003,$E43,data2!I$2:I$30003)=0,"",SUMIF(data2!$A$2:$A$30003,$E43,data2!I$2:I$30003)))/IF(SUMIF(data2!$A$2:$A$30003,$E43,data2!J$2:J$30003)=0,"",SUMIF(data2!$A$2:$A$30003,$E43,data2!J$2:J$30003))),0)</f>
        <v>0.36363636363636365</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0.66666666666666663</v>
      </c>
      <c r="K43" s="92">
        <f>IFERROR(IF(E$1="","",(IF(SUMIF(data2!$A$2:$A$30003,$E43,data2!F$2:F$30003)=0,"",SUMIF(data2!$A$2:$A$30003,$E43,data2!F$2:F$30003)))),0)</f>
        <v>2</v>
      </c>
      <c r="L43" s="92">
        <f>IFERROR(IF(E$1="","",(IF(SUMIF(data2!$A$2:$A$30003,$E43,data2!G$2:G$30003)=0,"",SUMIF(data2!$A$2:$A$30003,$E43,data2!G$2:G$30003)))),0)</f>
        <v>3</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x14ac:dyDescent="0.3">
      <c r="D44" t="s">
        <v>45392</v>
      </c>
      <c r="E44" t="str">
        <f t="shared" si="2"/>
        <v>Youth VillagesAll CombinedFeb-25</v>
      </c>
      <c r="F44" t="s">
        <v>45393</v>
      </c>
      <c r="G44" s="8">
        <f>IFERROR(IF(E$1="","",(IF(SUMIF(data2!$A$2:$A$30003,$E44,data2!I$2:I$30003)=0,"",SUMIF(data2!$A$2:$A$30003,$E44,data2!I$2:I$30003)))/IF(SUMIF(data2!$A$2:$A$30003,$E44,data2!J$2:J$30003)=0,"",SUMIF(data2!$A$2:$A$30003,$E44,data2!J$2:J$30003))),0)</f>
        <v>0</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v>
      </c>
      <c r="K44" s="92" t="str">
        <f>IFERROR(IF(E$1="","",(IF(SUMIF(data2!$A$2:$A$30003,$E44,data2!F$2:F$30003)=0,"",SUMIF(data2!$A$2:$A$30003,$E44,data2!F$2:F$30003)))),0)</f>
        <v/>
      </c>
      <c r="L44" s="92" t="str">
        <f>IFERROR(IF(E$1="","",(IF(SUMIF(data2!$A$2:$A$30003,$E44,data2!G$2:G$30003)=0,"",SUMIF(data2!$A$2:$A$30003,$E44,data2!G$2:G$30003)))),0)</f>
        <v/>
      </c>
      <c r="M44" s="8">
        <f>IFERROR(IF(E$1="","",(IF(SUMIF(data2!$A$2:$A$30003,$E44,data2!P$2:P$30003)=0,"",SUMIF(data2!$A$2:$A$30003,$E44,data2!P$2:P$30003)))/IF(SUMIF(data2!$A$2:$A$30003,$E44,data2!Q$2:Q$30003)=0,"",SUMIF(data2!$A$2:$A$30003,$E44,data2!Q$2:Q$30003))),0)</f>
        <v>0</v>
      </c>
      <c r="N44" s="94" t="str">
        <f>IFERROR(IF(E$1="","",(IF(SUMIF(data2!$A$2:$A$20003,$E44,data2!P$2:P$20003)=0,"",SUMIF(data2!$A$2:$A$20003,$E44,data2!P$2:P$20003)))),0)</f>
        <v/>
      </c>
      <c r="O44" s="94" t="str">
        <f>IFERROR(IF(E$1="","",(IF(SUMIF(data2!$A$2:$A$20003,$E44,data2!Q$2:Q$20003)=0,"",SUMIF(data2!$A$2:$A$20003,$E44,data2!Q$2:Q$20003)))),0)</f>
        <v/>
      </c>
    </row>
    <row r="45" spans="2:15" x14ac:dyDescent="0.3">
      <c r="B45" t="s">
        <v>44209</v>
      </c>
      <c r="C45" t="s">
        <v>44341</v>
      </c>
      <c r="D45" t="s">
        <v>45394</v>
      </c>
      <c r="E45" t="str">
        <f t="shared" si="2"/>
        <v>DBH Parent SupportABC CombinedFeb-25</v>
      </c>
      <c r="F45" t="s">
        <v>45352</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x14ac:dyDescent="0.3">
      <c r="B46" t="s">
        <v>44209</v>
      </c>
      <c r="C46" t="s">
        <v>44344</v>
      </c>
      <c r="D46" t="s">
        <v>45395</v>
      </c>
      <c r="E46" t="str">
        <f t="shared" si="2"/>
        <v>Healthy FuturesABC CombinedFeb-25</v>
      </c>
      <c r="F46" t="s">
        <v>45365</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x14ac:dyDescent="0.3">
      <c r="B47" t="s">
        <v>44209</v>
      </c>
      <c r="C47" t="s">
        <v>44347</v>
      </c>
      <c r="D47" t="s">
        <v>45396</v>
      </c>
      <c r="E47" t="str">
        <f t="shared" si="2"/>
        <v>Marys CenterABC CombinedFeb-25</v>
      </c>
      <c r="F47" t="s">
        <v>45373</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x14ac:dyDescent="0.3">
      <c r="B48" t="s">
        <v>44209</v>
      </c>
      <c r="C48" t="s">
        <v>44350</v>
      </c>
      <c r="D48" t="s">
        <v>45397</v>
      </c>
      <c r="E48" t="str">
        <f t="shared" si="2"/>
        <v>Medstar GeorgetownABC CombinedFeb-25</v>
      </c>
      <c r="F48" t="s">
        <v>45379</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x14ac:dyDescent="0.3">
      <c r="B49" t="s">
        <v>44209</v>
      </c>
      <c r="C49" t="s">
        <v>44353</v>
      </c>
      <c r="D49" t="s">
        <v>45398</v>
      </c>
      <c r="E49" t="str">
        <f t="shared" si="2"/>
        <v>PIECEABC CombinedFeb-25</v>
      </c>
      <c r="F49" t="s">
        <v>44356</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x14ac:dyDescent="0.3">
      <c r="B50" t="s">
        <v>44214</v>
      </c>
      <c r="C50" t="str">
        <f>B50&amp;1</f>
        <v>A-CRA1</v>
      </c>
      <c r="D50" t="s">
        <v>45399</v>
      </c>
      <c r="E50" t="str">
        <f t="shared" si="2"/>
        <v>Federal CityA-CRA CombinedFeb-25</v>
      </c>
      <c r="F50" t="s">
        <v>45356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x14ac:dyDescent="0.3">
      <c r="B51" t="s">
        <v>44214</v>
      </c>
      <c r="C51" t="str">
        <f>B51&amp;2</f>
        <v>A-CRA2</v>
      </c>
      <c r="D51" t="s">
        <v>45400</v>
      </c>
      <c r="E51" t="str">
        <f t="shared" si="2"/>
        <v>HillcrestA-CRA CombinedFeb-25</v>
      </c>
      <c r="F51" t="s">
        <v>45367</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x14ac:dyDescent="0.3">
      <c r="B52" t="s">
        <v>44214</v>
      </c>
      <c r="C52" t="str">
        <f>B52&amp;3</f>
        <v>A-CRA3</v>
      </c>
      <c r="D52" t="s">
        <v>45401</v>
      </c>
      <c r="E52" t="str">
        <f t="shared" si="2"/>
        <v>LAYCA-CRA CombinedFeb-25</v>
      </c>
      <c r="F52" t="s">
        <v>44275</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x14ac:dyDescent="0.3">
      <c r="B53" t="s">
        <v>44214</v>
      </c>
      <c r="C53" t="str">
        <f>B53&amp;4</f>
        <v>A-CRA4</v>
      </c>
      <c r="D53" t="s">
        <v>45402</v>
      </c>
      <c r="E53" t="str">
        <f t="shared" si="2"/>
        <v>RiversideA-CRA CombinedFeb-25</v>
      </c>
      <c r="F53" t="s">
        <v>45383</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x14ac:dyDescent="0.3">
      <c r="B54" t="s">
        <v>44218</v>
      </c>
      <c r="C54" t="str">
        <f>B54&amp;1</f>
        <v>CPP-FV1</v>
      </c>
      <c r="D54" t="s">
        <v>45403</v>
      </c>
      <c r="E54" t="str">
        <f t="shared" si="2"/>
        <v>Adoptions TogetherCPP-FV CombinedFeb-25</v>
      </c>
      <c r="F54" t="s">
        <v>45344</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x14ac:dyDescent="0.3">
      <c r="B55" t="s">
        <v>44218</v>
      </c>
      <c r="C55" t="str">
        <f>B55&amp;2</f>
        <v>CPP-FV2</v>
      </c>
      <c r="D55" t="s">
        <v>45404</v>
      </c>
      <c r="E55" t="str">
        <f t="shared" si="2"/>
        <v>Foundations for Home &amp; CommunityCPP-FV CombinedFeb-25</v>
      </c>
      <c r="F55" t="s">
        <v>45358</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x14ac:dyDescent="0.3">
      <c r="B56" t="s">
        <v>44222</v>
      </c>
      <c r="C56" t="str">
        <f>B57&amp;1</f>
        <v>FFT1</v>
      </c>
      <c r="D56" t="s">
        <v>45405</v>
      </c>
      <c r="E56" t="str">
        <f t="shared" si="2"/>
        <v>Better MorningsFFT CombinedFeb-25</v>
      </c>
      <c r="F56" t="s">
        <v>45406</v>
      </c>
      <c r="G56" s="8">
        <f>IFERROR(IF(E$1="","",(IF(SUMIF(data2!$A$2:$A$30003,$E56,data2!I$2:I$30003)=0,"",SUMIF(data2!$A$2:$A$30003,$E56,data2!I$2:I$30003)))/IF(SUMIF(data2!$A$2:$A$30003,$E56,data2!J$2:J$30003)=0,"",SUMIF(data2!$A$2:$A$30003,$E56,data2!J$2:J$30003))),0)</f>
        <v>0.52941176470588236</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1</v>
      </c>
      <c r="K56" s="92">
        <f>IFERROR(IF(E$1="","",(IF(SUMIF(data2!$A$2:$A$30003,$E56,data2!F$2:F$30003)=0,"",SUMIF(data2!$A$2:$A$30003,$E56,data2!F$2:F$30003)))),0)</f>
        <v>3</v>
      </c>
      <c r="L56" s="92">
        <f>IFERROR(IF(E$1="","",(IF(SUMIF(data2!$A$2:$A$30003,$E56,data2!G$2:G$30003)=0,"",SUMIF(data2!$A$2:$A$30003,$E56,data2!G$2:G$30003)))),0)</f>
        <v>3</v>
      </c>
      <c r="M56" s="8">
        <f>IFERROR(IF(E$1="","",(IF(SUMIF(data2!$A$2:$A$30003,$E56,data2!P$2:P$30003)=0,"",SUMIF(data2!$A$2:$A$30003,$E56,data2!P$2:P$30003)))/IF(SUMIF(data2!$A$2:$A$30003,$E56,data2!Q$2:Q$30003)=0,"",SUMIF(data2!$A$2:$A$30003,$E56,data2!Q$2:Q$30003))),0)</f>
        <v>0.33333333333333331</v>
      </c>
      <c r="N56" s="94" t="str">
        <f>IFERROR(IF(E$1="","",(IF(SUMIF(data2!$A$2:$A$20003,$E56,data2!P$2:P$20003)=0,"",SUMIF(data2!$A$2:$A$20003,$E56,data2!P$2:P$20003)))),0)</f>
        <v/>
      </c>
      <c r="O56" s="94" t="str">
        <f>IFERROR(IF(E$1="","",(IF(SUMIF(data2!$A$2:$A$20003,$E56,data2!Q$2:Q$20003)=0,"",SUMIF(data2!$A$2:$A$20003,$E56,data2!Q$2:Q$20003)))),0)</f>
        <v/>
      </c>
    </row>
    <row r="57" spans="2:15" x14ac:dyDescent="0.3">
      <c r="B57" t="s">
        <v>44222</v>
      </c>
      <c r="C57" t="str">
        <f>B58&amp;2</f>
        <v>FFT2</v>
      </c>
      <c r="D57" t="s">
        <v>45407</v>
      </c>
      <c r="E57" t="str">
        <f t="shared" si="2"/>
        <v>CatholicFFT CombinedFeb-25</v>
      </c>
      <c r="F57" t="s">
        <v>45346</v>
      </c>
      <c r="G57" s="8">
        <f>IFERROR(IF(E$1="","",(IF(SUMIF(data2!$A$2:$A$30003,$E57,data2!I$2:I$30003)=0,"",SUMIF(data2!$A$2:$A$30003,$E57,data2!I$2:I$30003)))/IF(SUMIF(data2!$A$2:$A$30003,$E57,data2!J$2:J$30003)=0,"",SUMIF(data2!$A$2:$A$30003,$E57,data2!J$2:J$30003))),0)</f>
        <v>0</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0</v>
      </c>
      <c r="K57" s="92" t="str">
        <f>IFERROR(IF(E$1="","",(IF(SUMIF(data2!$A$2:$A$30003,$E57,data2!F$2:F$30003)=0,"",SUMIF(data2!$A$2:$A$30003,$E57,data2!F$2:F$30003)))),0)</f>
        <v/>
      </c>
      <c r="L57" s="92" t="str">
        <f>IFERROR(IF(E$1="","",(IF(SUMIF(data2!$A$2:$A$30003,$E57,data2!G$2:G$30003)=0,"",SUMIF(data2!$A$2:$A$30003,$E57,data2!G$2:G$30003)))),0)</f>
        <v/>
      </c>
      <c r="M57" s="8">
        <f>IFERROR(IF(E$1="","",(IF(SUMIF(data2!$A$2:$A$30003,$E57,data2!P$2:P$30003)=0,"",SUMIF(data2!$A$2:$A$30003,$E57,data2!P$2:P$30003)))/IF(SUMIF(data2!$A$2:$A$30003,$E57,data2!Q$2:Q$30003)=0,"",SUMIF(data2!$A$2:$A$30003,$E57,data2!Q$2:Q$30003))),0)</f>
        <v>0</v>
      </c>
      <c r="N57" s="94" t="str">
        <f>IFERROR(IF(E$1="","",(IF(SUMIF(data2!$A$2:$A$20003,$E57,data2!P$2:P$20003)=0,"",SUMIF(data2!$A$2:$A$20003,$E57,data2!P$2:P$20003)))),0)</f>
        <v/>
      </c>
      <c r="O57" s="94" t="str">
        <f>IFERROR(IF(E$1="","",(IF(SUMIF(data2!$A$2:$A$20003,$E57,data2!Q$2:Q$20003)=0,"",SUMIF(data2!$A$2:$A$20003,$E57,data2!Q$2:Q$20003)))),0)</f>
        <v/>
      </c>
    </row>
    <row r="58" spans="2:15" x14ac:dyDescent="0.3">
      <c r="B58" t="s">
        <v>44222</v>
      </c>
      <c r="C58" t="str">
        <f>B59&amp;3</f>
        <v>FFT3</v>
      </c>
      <c r="D58" t="s">
        <v>45408</v>
      </c>
      <c r="E58" t="str">
        <f t="shared" si="2"/>
        <v>First Home CareFFT CombinedFeb-25</v>
      </c>
      <c r="F58" t="s">
        <v>45358</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x14ac:dyDescent="0.3">
      <c r="B59" t="s">
        <v>44222</v>
      </c>
      <c r="C59" t="str">
        <f>B60&amp;4</f>
        <v>FFT4</v>
      </c>
      <c r="D59" t="s">
        <v>45409</v>
      </c>
      <c r="E59" t="str">
        <f t="shared" si="2"/>
        <v>Foundations for Home &amp; CommunityFFT CombinedFeb-25</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x14ac:dyDescent="0.3">
      <c r="B60" t="s">
        <v>44222</v>
      </c>
      <c r="C60" t="str">
        <f>B61&amp;5</f>
        <v>FFT5</v>
      </c>
      <c r="D60" t="s">
        <v>45410</v>
      </c>
      <c r="E60" t="str">
        <f t="shared" si="2"/>
        <v>HillcrestFFT CombinedFeb-25</v>
      </c>
      <c r="F60" t="s">
        <v>45367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x14ac:dyDescent="0.3">
      <c r="B61" t="s">
        <v>44222</v>
      </c>
      <c r="C61" t="str">
        <f>B61&amp;6</f>
        <v>FFT6</v>
      </c>
      <c r="D61" t="s">
        <v>45411</v>
      </c>
      <c r="E61" t="str">
        <f t="shared" si="2"/>
        <v>PASSFFT CombinedFeb-25</v>
      </c>
      <c r="F61" t="s">
        <v>44303</v>
      </c>
      <c r="G61" s="8">
        <f>IFERROR(IF(E$1="","",(IF(SUMIF(data2!$A$2:$A$30003,$E61,data2!I$2:I$30003)=0,"",SUMIF(data2!$A$2:$A$30003,$E61,data2!I$2:I$30003)))/IF(SUMIF(data2!$A$2:$A$30003,$E61,data2!J$2:J$30003)=0,"",SUMIF(data2!$A$2:$A$30003,$E61,data2!J$2:J$30003))),0)</f>
        <v>1</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0.4</v>
      </c>
      <c r="K61" s="92">
        <f>IFERROR(IF(E$1="","",(IF(SUMIF(data2!$A$2:$A$30003,$E61,data2!F$2:F$30003)=0,"",SUMIF(data2!$A$2:$A$30003,$E61,data2!F$2:F$30003)))),0)</f>
        <v>2</v>
      </c>
      <c r="L61" s="92">
        <f>IFERROR(IF(E$1="","",(IF(SUMIF(data2!$A$2:$A$30003,$E61,data2!G$2:G$30003)=0,"",SUMIF(data2!$A$2:$A$30003,$E61,data2!G$2:G$30003)))),0)</f>
        <v>5</v>
      </c>
      <c r="M61" s="8">
        <f>IFERROR(IF(E$1="","",(IF(SUMIF(data2!$A$2:$A$30003,$E61,data2!P$2:P$30003)=0,"",SUMIF(data2!$A$2:$A$30003,$E61,data2!P$2:P$30003)))/IF(SUMIF(data2!$A$2:$A$30003,$E61,data2!Q$2:Q$30003)=0,"",SUMIF(data2!$A$2:$A$30003,$E61,data2!Q$2:Q$30003))),0)</f>
        <v>0.33333333333333331</v>
      </c>
      <c r="N61" s="94" t="str">
        <f>IFERROR(IF(E$1="","",(IF(SUMIF(data2!$A$2:$A$20003,$E61,data2!P$2:P$20003)=0,"",SUMIF(data2!$A$2:$A$20003,$E61,data2!P$2:P$20003)))),0)</f>
        <v/>
      </c>
      <c r="O61" s="94" t="str">
        <f>IFERROR(IF(E$1="","",(IF(SUMIF(data2!$A$2:$A$20003,$E61,data2!Q$2:Q$20003)=0,"",SUMIF(data2!$A$2:$A$20003,$E61,data2!Q$2:Q$20003)))),0)</f>
        <v/>
      </c>
    </row>
    <row r="62" spans="2:15" x14ac:dyDescent="0.3">
      <c r="B62" t="s">
        <v>44226</v>
      </c>
      <c r="C62" t="str">
        <f>B62&amp;1</f>
        <v>IHCBS1</v>
      </c>
      <c r="D62" t="s">
        <v>45412</v>
      </c>
      <c r="E62" t="str">
        <f t="shared" si="2"/>
        <v>Better MorningsIHCBS CombinedFeb-25</v>
      </c>
      <c r="F62" t="s">
        <v>45406</v>
      </c>
      <c r="G62" s="8">
        <f>IFERROR(IF(E$1="","",(IF(SUMIF(data2!$A$2:$A$30003,$E62,data2!I$2:I$30003)=0,"",SUMIF(data2!$A$2:$A$30003,$E62,data2!I$2:I$30003)))/IF(SUMIF(data2!$A$2:$A$30003,$E62,data2!J$2:J$30003)=0,"",SUMIF(data2!$A$2:$A$30003,$E62,data2!J$2:J$30003))),0)</f>
        <v>1.3125</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2">
        <f>IFERROR(IF(E$1="","",(IF(SUMIF(data2!$A$2:$A$30003,$E62,data2!F$2:F$30003)=0,"",SUMIF(data2!$A$2:$A$30003,$E62,data2!F$2:F$30003)))),0)</f>
        <v>4</v>
      </c>
      <c r="L62" s="92">
        <f>IFERROR(IF(E$1="","",(IF(SUMIF(data2!$A$2:$A$30003,$E62,data2!G$2:G$30003)=0,"",SUMIF(data2!$A$2:$A$30003,$E62,data2!G$2:G$30003)))),0)</f>
        <v>4</v>
      </c>
      <c r="M62" s="8">
        <f>IFERROR(IF(E$1="","",(IF(SUMIF(data2!$A$2:$A$30003,$E62,data2!P$2:P$30003)=0,"",SUMIF(data2!$A$2:$A$30003,$E62,data2!P$2:P$30003)))/IF(SUMIF(data2!$A$2:$A$30003,$E62,data2!Q$2:Q$30003)=0,"",SUMIF(data2!$A$2:$A$30003,$E62,data2!Q$2:Q$30003))),0)</f>
        <v>1</v>
      </c>
      <c r="N62" s="94" t="str">
        <f>IFERROR(IF(E$1="","",(IF(SUMIF(data2!$A$2:$A$20003,$E62,data2!P$2:P$20003)=0,"",SUMIF(data2!$A$2:$A$20003,$E62,data2!P$2:P$20003)))),0)</f>
        <v/>
      </c>
      <c r="O62" s="94" t="str">
        <f>IFERROR(IF(E$1="","",(IF(SUMIF(data2!$A$2:$A$20003,$E62,data2!Q$2:Q$20003)=0,"",SUMIF(data2!$A$2:$A$20003,$E62,data2!Q$2:Q$20003)))),0)</f>
        <v/>
      </c>
    </row>
    <row r="63" spans="2:15" x14ac:dyDescent="0.3">
      <c r="B63" t="s">
        <v>44226</v>
      </c>
      <c r="C63" t="str">
        <f>B63&amp;2</f>
        <v>IHCBS2</v>
      </c>
      <c r="D63" t="s">
        <v>45413</v>
      </c>
      <c r="E63" t="str">
        <f t="shared" si="2"/>
        <v>HillcrestIHCBS CombinedFeb-25</v>
      </c>
      <c r="F63" t="s">
        <v>45367</v>
      </c>
      <c r="G63" s="8">
        <f>IFERROR(IF(E$1="","",(IF(SUMIF(data2!$A$2:$A$30003,$E63,data2!I$2:I$30003)=0,"",SUMIF(data2!$A$2:$A$30003,$E63,data2!I$2:I$30003)))/IF(SUMIF(data2!$A$2:$A$30003,$E63,data2!J$2:J$30003)=0,"",SUMIF(data2!$A$2:$A$30003,$E63,data2!J$2:J$30003))),0)</f>
        <v>1.5</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0.75</v>
      </c>
      <c r="K63" s="92">
        <f>IFERROR(IF(E$1="","",(IF(SUMIF(data2!$A$2:$A$30003,$E63,data2!F$2:F$30003)=0,"",SUMIF(data2!$A$2:$A$30003,$E63,data2!F$2:F$30003)))),0)</f>
        <v>3</v>
      </c>
      <c r="L63" s="92">
        <f>IFERROR(IF(E$1="","",(IF(SUMIF(data2!$A$2:$A$30003,$E63,data2!G$2:G$30003)=0,"",SUMIF(data2!$A$2:$A$30003,$E63,data2!G$2:G$30003)))),0)</f>
        <v>4</v>
      </c>
      <c r="M63" s="8">
        <f>IFERROR(IF(E$1="","",(IF(SUMIF(data2!$A$2:$A$30003,$E63,data2!P$2:P$30003)=0,"",SUMIF(data2!$A$2:$A$30003,$E63,data2!P$2:P$30003)))/IF(SUMIF(data2!$A$2:$A$30003,$E63,data2!Q$2:Q$30003)=0,"",SUMIF(data2!$A$2:$A$30003,$E63,data2!Q$2:Q$30003))),0)</f>
        <v>0</v>
      </c>
      <c r="N63" s="94" t="str">
        <f>IFERROR(IF(E$1="","",(IF(SUMIF(data2!$A$2:$A$20003,$E63,data2!P$2:P$20003)=0,"",SUMIF(data2!$A$2:$A$20003,$E63,data2!P$2:P$20003)))),0)</f>
        <v/>
      </c>
      <c r="O63" s="94" t="str">
        <f>IFERROR(IF(E$1="","",(IF(SUMIF(data2!$A$2:$A$20003,$E63,data2!Q$2:Q$20003)=0,"",SUMIF(data2!$A$2:$A$20003,$E63,data2!Q$2:Q$20003)))),0)</f>
        <v/>
      </c>
    </row>
    <row r="64" spans="2:15" x14ac:dyDescent="0.3">
      <c r="B64" t="s">
        <v>44226</v>
      </c>
      <c r="C64" t="str">
        <f>B64&amp;3</f>
        <v>IHCBS3</v>
      </c>
      <c r="D64" t="s">
        <v>45414</v>
      </c>
      <c r="E64" t="str">
        <f t="shared" si="2"/>
        <v>LESIHCBS CombinedFeb-25</v>
      </c>
      <c r="F64" t="s">
        <v>44281</v>
      </c>
      <c r="G64" s="8">
        <f>IFERROR(IF(E$1="","",(IF(SUMIF(data2!$A$2:$A$30003,$E64,data2!I$2:I$30003)=0,"",SUMIF(data2!$A$2:$A$30003,$E64,data2!I$2:I$30003)))/IF(SUMIF(data2!$A$2:$A$30003,$E64,data2!J$2:J$30003)=0,"",SUMIF(data2!$A$2:$A$30003,$E64,data2!J$2:J$30003))),0)</f>
        <v>0</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0</v>
      </c>
      <c r="K64" s="92" t="str">
        <f>IFERROR(IF(E$1="","",(IF(SUMIF(data2!$A$2:$A$30003,$E64,data2!F$2:F$30003)=0,"",SUMIF(data2!$A$2:$A$30003,$E64,data2!F$2:F$30003)))),0)</f>
        <v/>
      </c>
      <c r="L64" s="92" t="str">
        <f>IFERROR(IF(E$1="","",(IF(SUMIF(data2!$A$2:$A$30003,$E64,data2!G$2:G$30003)=0,"",SUMIF(data2!$A$2:$A$30003,$E64,data2!G$2:G$30003)))),0)</f>
        <v/>
      </c>
      <c r="M64" s="8">
        <f>IFERROR(IF(E$1="","",(IF(SUMIF(data2!$A$2:$A$30003,$E64,data2!P$2:P$30003)=0,"",SUMIF(data2!$A$2:$A$30003,$E64,data2!P$2:P$30003)))/IF(SUMIF(data2!$A$2:$A$30003,$E64,data2!Q$2:Q$30003)=0,"",SUMIF(data2!$A$2:$A$30003,$E64,data2!Q$2:Q$30003))),0)</f>
        <v>0</v>
      </c>
      <c r="N64" s="94" t="str">
        <f>IFERROR(IF(E$1="","",(IF(SUMIF(data2!$A$2:$A$20003,$E64,data2!P$2:P$20003)=0,"",SUMIF(data2!$A$2:$A$20003,$E64,data2!P$2:P$20003)))),0)</f>
        <v/>
      </c>
      <c r="O64" s="94" t="str">
        <f>IFERROR(IF(E$1="","",(IF(SUMIF(data2!$A$2:$A$20003,$E64,data2!Q$2:Q$20003)=0,"",SUMIF(data2!$A$2:$A$20003,$E64,data2!Q$2:Q$20003)))),0)</f>
        <v/>
      </c>
    </row>
    <row r="65" spans="2:15" x14ac:dyDescent="0.3">
      <c r="B65" t="s">
        <v>44226</v>
      </c>
      <c r="C65" t="str">
        <f>B65&amp;4</f>
        <v>IHCBS4</v>
      </c>
      <c r="D65" t="s">
        <v>45415</v>
      </c>
      <c r="E65" t="str">
        <f t="shared" si="2"/>
        <v>MBI-HSIHCBS CombinedFeb-25</v>
      </c>
      <c r="F65" t="s">
        <v>45375</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t="str">
        <f>IFERROR(IF(E$1="","",(IF(SUMIF(data2!$A$2:$A$30003,$E65,data2!G$2:G$30003)=0,"",SUMIF(data2!$A$2:$A$30003,$E65,data2!G$2:G$30003)))),0)</f>
        <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x14ac:dyDescent="0.3">
      <c r="B66" t="s">
        <v>44226</v>
      </c>
      <c r="C66" t="str">
        <f>B66&amp;5</f>
        <v>IHCBS5</v>
      </c>
      <c r="D66" t="s">
        <v>45416</v>
      </c>
      <c r="E66" t="str">
        <f t="shared" si="2"/>
        <v>MD Family ResourcesIHCBS CombinedFeb-25</v>
      </c>
      <c r="F66" t="s">
        <v>45377</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f>IFERROR(IF(E$1="","",(IF(SUMIF(data2!$A$2:$A$30003,$E66,data2!G$2:G$30003)=0,"",SUMIF(data2!$A$2:$A$30003,$E66,data2!G$2:G$30003)))),0)</f>
        <v>4</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x14ac:dyDescent="0.3">
      <c r="B67" t="s">
        <v>44226</v>
      </c>
      <c r="C67" t="str">
        <f>B67&amp;6</f>
        <v>IHCBS6</v>
      </c>
      <c r="D67" t="s">
        <v>46142</v>
      </c>
      <c r="E67" t="str">
        <f t="shared" si="2"/>
        <v>UmbrellaIHCBS CombinedFeb-25</v>
      </c>
      <c r="F67" t="s">
        <v>45387</v>
      </c>
      <c r="G67" s="8">
        <f>IFERROR(IF(E$1="","",(IF(SUMIF(data2!$A$2:$A$30003,$E67,data2!I$2:I$30003)=0,"",SUMIF(data2!$A$2:$A$30003,$E67,data2!I$2:I$30003)))/IF(SUMIF(data2!$A$2:$A$30003,$E67,data2!J$2:J$30003)=0,"",SUMIF(data2!$A$2:$A$30003,$E67,data2!J$2:J$30003))),0)</f>
        <v>0.25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1</v>
      </c>
      <c r="K67" s="92">
        <f>IFERROR(IF(E$1="","",(IF(SUMIF(data2!$A$2:$A$30003,$E67,data2!F$2:F$30003)=0,"",SUMIF(data2!$A$2:$A$30003,$E67,data2!F$2:F$30003)))),0)</f>
        <v>2</v>
      </c>
      <c r="L67" s="92">
        <f>IFERROR(IF(E$1="","",(IF(SUMIF(data2!$A$2:$A$30003,$E67,data2!G$2:G$30003)=0,"",SUMIF(data2!$A$2:$A$30003,$E67,data2!G$2:G$30003)))),0)</f>
        <v>2</v>
      </c>
      <c r="M67" s="8">
        <f>IFERROR(IF(E$1="","",(IF(SUMIF(data2!$A$2:$A$30003,$E67,data2!P$2:P$30003)=0,"",SUMIF(data2!$A$2:$A$30003,$E67,data2!P$2:P$30003)))/IF(SUMIF(data2!$A$2:$A$30003,$E67,data2!Q$2:Q$30003)=0,"",SUMIF(data2!$A$2:$A$30003,$E67,data2!Q$2:Q$30003))),0)</f>
        <v>0</v>
      </c>
      <c r="N67" s="94"/>
      <c r="O67" s="94"/>
    </row>
    <row r="68" spans="2:15" x14ac:dyDescent="0.3">
      <c r="B68" t="s">
        <v>44230</v>
      </c>
      <c r="C68" t="str">
        <f>B68&amp;1</f>
        <v>MST1</v>
      </c>
      <c r="D68" t="s">
        <v>45417</v>
      </c>
      <c r="E68" t="str">
        <f t="shared" si="2"/>
        <v>LCSMST CombinedFeb-25</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x14ac:dyDescent="0.3">
      <c r="B69" t="s">
        <v>44230</v>
      </c>
      <c r="C69" t="str">
        <f>B69&amp;2</f>
        <v>MST2</v>
      </c>
      <c r="D69" t="s">
        <v>45418</v>
      </c>
      <c r="E69" t="str">
        <f t="shared" si="2"/>
        <v>MBI HSMST CombinedFeb-25</v>
      </c>
      <c r="F69" t="s">
        <v>45375</v>
      </c>
      <c r="G69" s="8">
        <f>IFERROR(IF(E$1="","",(IF(SUMIF(data2!$A$2:$A$30003,$E69,data2!I$2:I$30003)=0,"",SUMIF(data2!$A$2:$A$30003,$E69,data2!I$2:I$30003)))/IF(SUMIF(data2!$A$2:$A$30003,$E69,data2!J$2:J$30003)=0,"",SUMIF(data2!$A$2:$A$30003,$E69,data2!J$2:J$30003))),0)</f>
        <v>1.2</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0.25</v>
      </c>
      <c r="K69" s="92">
        <f>IFERROR(IF(E$1="","",(IF(SUMIF(data2!$A$2:$A$30003,$E69,data2!F$2:F$30003)=0,"",SUMIF(data2!$A$2:$A$30003,$E69,data2!F$2:F$30003)))),0)</f>
        <v>1</v>
      </c>
      <c r="L69" s="92">
        <f>IFERROR(IF(E$1="","",(IF(SUMIF(data2!$A$2:$A$30003,$E69,data2!G$2:G$30003)=0,"",SUMIF(data2!$A$2:$A$30003,$E69,data2!G$2:G$30003)))),0)</f>
        <v>4</v>
      </c>
      <c r="M69" s="8">
        <f>IFERROR(IF(E$1="","",(IF(SUMIF(data2!$A$2:$A$30003,$E69,data2!P$2:P$30003)=0,"",SUMIF(data2!$A$2:$A$30003,$E69,data2!P$2:P$30003)))/IF(SUMIF(data2!$A$2:$A$30003,$E69,data2!Q$2:Q$30003)=0,"",SUMIF(data2!$A$2:$A$30003,$E69,data2!Q$2:Q$30003))),0)</f>
        <v>0</v>
      </c>
      <c r="N69" s="94" t="str">
        <f>IFERROR(IF(E$1="","",(IF(SUMIF(data2!$A$2:$A$20003,$E69,data2!P$2:P$20003)=0,"",SUMIF(data2!$A$2:$A$20003,$E69,data2!P$2:P$20003)))),0)</f>
        <v/>
      </c>
      <c r="O69" s="94" t="str">
        <f>IFERROR(IF(E$1="","",(IF(SUMIF(data2!$A$2:$A$20003,$E69,data2!Q$2:Q$20003)=0,"",SUMIF(data2!$A$2:$A$20003,$E69,data2!Q$2:Q$20003)))),0)</f>
        <v/>
      </c>
    </row>
    <row r="70" spans="2:15" x14ac:dyDescent="0.3">
      <c r="B70" t="s">
        <v>44230</v>
      </c>
      <c r="C70" t="str">
        <f>B70&amp;3</f>
        <v>MST3</v>
      </c>
      <c r="D70" t="s">
        <v>45419</v>
      </c>
      <c r="E70" t="str">
        <f t="shared" si="2"/>
        <v>Youth VillagesMST CombinedFeb-25</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x14ac:dyDescent="0.3">
      <c r="B71" t="s">
        <v>44234</v>
      </c>
      <c r="C71" t="str">
        <f>B71&amp;1</f>
        <v>MST-PSB1</v>
      </c>
      <c r="D71" t="s">
        <v>45420</v>
      </c>
      <c r="E71" t="str">
        <f t="shared" si="2"/>
        <v>Youth VillagesMST-PSB CombinedFeb-25</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x14ac:dyDescent="0.3">
      <c r="B72" t="s">
        <v>44250</v>
      </c>
      <c r="C72" t="str">
        <f>B72&amp;1</f>
        <v>TF-CBT1</v>
      </c>
      <c r="D72" t="s">
        <v>45421</v>
      </c>
      <c r="E72" t="str">
        <f t="shared" si="2"/>
        <v>Community ConnectionsTF-CBT CombinedFeb-25</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x14ac:dyDescent="0.3">
      <c r="B73" t="s">
        <v>44250</v>
      </c>
      <c r="C73" t="str">
        <f>B73&amp;2</f>
        <v>TF-CBT2</v>
      </c>
      <c r="D73" t="s">
        <v>45422</v>
      </c>
      <c r="E73" t="str">
        <f t="shared" si="2"/>
        <v>First Home CareTF-CBT CombinedFeb-25</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x14ac:dyDescent="0.3">
      <c r="B74" t="s">
        <v>44250</v>
      </c>
      <c r="C74" t="str">
        <f>B74&amp;3</f>
        <v>TF-CBT3</v>
      </c>
      <c r="D74" t="s">
        <v>45423</v>
      </c>
      <c r="E74" t="str">
        <f t="shared" si="2"/>
        <v>Foundations for Home &amp; CommunityTF-CBT CombinedFeb-25</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x14ac:dyDescent="0.3">
      <c r="B75" t="s">
        <v>44250</v>
      </c>
      <c r="C75" t="str">
        <f>B75&amp;4</f>
        <v>TF-CBT4</v>
      </c>
      <c r="D75" t="s">
        <v>45424</v>
      </c>
      <c r="E75" t="str">
        <f t="shared" si="2"/>
        <v>HillcrestTF-CBT CombinedFeb-25</v>
      </c>
      <c r="F75" t="s">
        <v>45367</v>
      </c>
      <c r="G75" s="8">
        <f>IFERROR(IF(E$1="","",(IF(SUMIF(data2!$A$2:$A$30003,$E75,data2!I$2:I$30003)=0,"",SUMIF(data2!$A$2:$A$30003,$E75,data2!I$2:I$30003)))/IF(SUMIF(data2!$A$2:$A$30003,$E75,data2!J$2:J$30003)=0,"",SUMIF(data2!$A$2:$A$30003,$E75,data2!J$2:J$30003))),0)</f>
        <v>0.70588235294117652</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0.5</v>
      </c>
      <c r="K75" s="92">
        <f>IFERROR(IF(E$1="","",(IF(SUMIF(data2!$A$2:$A$30003,$E75,data2!F$2:F$30003)=0,"",SUMIF(data2!$A$2:$A$30003,$E75,data2!F$2:F$30003)))),0)</f>
        <v>3</v>
      </c>
      <c r="L75" s="92">
        <f>IFERROR(IF(E$1="","",(IF(SUMIF(data2!$A$2:$A$30003,$E75,data2!G$2:G$30003)=0,"",SUMIF(data2!$A$2:$A$30003,$E75,data2!G$2:G$30003)))),0)</f>
        <v>6</v>
      </c>
      <c r="M75" s="8">
        <f>IFERROR(IF(E$1="","",(IF(SUMIF(data2!$A$2:$A$30003,$E75,data2!P$2:P$30003)=0,"",SUMIF(data2!$A$2:$A$30003,$E75,data2!P$2:P$30003)))/IF(SUMIF(data2!$A$2:$A$30003,$E75,data2!Q$2:Q$30003)=0,"",SUMIF(data2!$A$2:$A$30003,$E75,data2!Q$2:Q$30003))),0)</f>
        <v>0</v>
      </c>
      <c r="N75" s="94" t="str">
        <f>IFERROR(IF(E$1="","",(IF(SUMIF(data2!$A$2:$A$20003,$E75,data2!P$2:P$20003)=0,"",SUMIF(data2!$A$2:$A$20003,$E75,data2!P$2:P$20003)))),0)</f>
        <v/>
      </c>
      <c r="O75" s="94" t="str">
        <f>IFERROR(IF(E$1="","",(IF(SUMIF(data2!$A$2:$A$20003,$E75,data2!Q$2:Q$20003)=0,"",SUMIF(data2!$A$2:$A$20003,$E75,data2!Q$2:Q$20003)))),0)</f>
        <v/>
      </c>
    </row>
    <row r="76" spans="2:15" x14ac:dyDescent="0.3">
      <c r="B76" t="s">
        <v>44250</v>
      </c>
      <c r="C76" t="str">
        <f>B76&amp;5</f>
        <v>TF-CBT5</v>
      </c>
      <c r="D76" t="s">
        <v>45425</v>
      </c>
      <c r="E76" t="str">
        <f t="shared" si="2"/>
        <v>LAYCTF-CBT CombinedFeb-25</v>
      </c>
      <c r="F76" t="s">
        <v>44275</v>
      </c>
      <c r="G76" s="8">
        <f>IFERROR(IF(E$1="","",(IF(SUMIF(data2!$A$2:$A$30003,$E76,data2!I$2:I$30003)=0,"",SUMIF(data2!$A$2:$A$30003,$E76,data2!I$2:I$30003)))/IF(SUMIF(data2!$A$2:$A$30003,$E76,data2!J$2:J$30003)=0,"",SUMIF(data2!$A$2:$A$30003,$E76,data2!J$2:J$30003))),0)</f>
        <v>0.46666666666666667</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0.7142857142857143</v>
      </c>
      <c r="K76" s="92">
        <f>IFERROR(IF(E$1="","",(IF(SUMIF(data2!$A$2:$A$30003,$E76,data2!F$2:F$30003)=0,"",SUMIF(data2!$A$2:$A$30003,$E76,data2!F$2:F$30003)))),0)</f>
        <v>2.5</v>
      </c>
      <c r="L76" s="92">
        <f>IFERROR(IF(E$1="","",(IF(SUMIF(data2!$A$2:$A$30003,$E76,data2!G$2:G$30003)=0,"",SUMIF(data2!$A$2:$A$30003,$E76,data2!G$2:G$30003)))),0)</f>
        <v>3.5</v>
      </c>
      <c r="M76" s="8">
        <f>IFERROR(IF(E$1="","",(IF(SUMIF(data2!$A$2:$A$30003,$E76,data2!P$2:P$30003)=0,"",SUMIF(data2!$A$2:$A$30003,$E76,data2!P$2:P$30003)))/IF(SUMIF(data2!$A$2:$A$30003,$E76,data2!Q$2:Q$30003)=0,"",SUMIF(data2!$A$2:$A$30003,$E76,data2!Q$2:Q$30003))),0)</f>
        <v>0.75</v>
      </c>
      <c r="N76" s="94" t="str">
        <f>IFERROR(IF(E$1="","",(IF(SUMIF(data2!$A$2:$A$20003,$E76,data2!P$2:P$20003)=0,"",SUMIF(data2!$A$2:$A$20003,$E76,data2!P$2:P$20003)))),0)</f>
        <v/>
      </c>
      <c r="O76" s="94" t="str">
        <f>IFERROR(IF(E$1="","",(IF(SUMIF(data2!$A$2:$A$20003,$E76,data2!Q$2:Q$20003)=0,"",SUMIF(data2!$A$2:$A$20003,$E76,data2!Q$2:Q$20003)))),0)</f>
        <v/>
      </c>
    </row>
    <row r="77" spans="2:15" x14ac:dyDescent="0.3">
      <c r="B77" t="s">
        <v>44250</v>
      </c>
      <c r="C77" t="str">
        <f>B77&amp;6</f>
        <v>TF-CBT6</v>
      </c>
      <c r="D77" t="s">
        <v>45426</v>
      </c>
      <c r="E77" t="str">
        <f t="shared" si="2"/>
        <v>LESTF-CBT CombinedFeb-25</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x14ac:dyDescent="0.3">
      <c r="B78" t="s">
        <v>44250</v>
      </c>
      <c r="C78" t="str">
        <f>B78&amp;7</f>
        <v>TF-CBT7</v>
      </c>
      <c r="D78" t="s">
        <v>45427</v>
      </c>
      <c r="E78" t="str">
        <f t="shared" si="2"/>
        <v>MD Family ResourcesTF-CBT CombinedFeb-25</v>
      </c>
      <c r="F78" t="s">
        <v>45377</v>
      </c>
      <c r="G78" s="8">
        <f>IFERROR(IF(E$1="","",(IF(SUMIF(data2!$A$2:$A$30003,$E78,data2!I$2:I$30003)=0,"",SUMIF(data2!$A$2:$A$30003,$E78,data2!I$2:I$30003)))/IF(SUMIF(data2!$A$2:$A$30003,$E78,data2!J$2:J$30003)=0,"",SUMIF(data2!$A$2:$A$30003,$E78,data2!J$2:J$30003))),0)</f>
        <v>0.36363636363636365</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0.5714285714285714</v>
      </c>
      <c r="K78" s="92">
        <f>IFERROR(IF(E$1="","",(IF(SUMIF(data2!$A$2:$A$30003,$E78,data2!F$2:F$30003)=0,"",SUMIF(data2!$A$2:$A$30003,$E78,data2!F$2:F$30003)))),0)</f>
        <v>2</v>
      </c>
      <c r="L78" s="92">
        <f>IFERROR(IF(E$1="","",(IF(SUMIF(data2!$A$2:$A$30003,$E78,data2!G$2:G$30003)=0,"",SUMIF(data2!$A$2:$A$30003,$E78,data2!G$2:G$30003)))),0)</f>
        <v>3.5</v>
      </c>
      <c r="M78" s="8">
        <f>IFERROR(IF(E$1="","",(IF(SUMIF(data2!$A$2:$A$30003,$E78,data2!P$2:P$30003)=0,"",SUMIF(data2!$A$2:$A$30003,$E78,data2!P$2:P$30003)))/IF(SUMIF(data2!$A$2:$A$30003,$E78,data2!Q$2:Q$30003)=0,"",SUMIF(data2!$A$2:$A$30003,$E78,data2!Q$2:Q$30003))),0)</f>
        <v>0</v>
      </c>
      <c r="N78" s="94" t="str">
        <f>IFERROR(IF(E$1="","",(IF(SUMIF(data2!$A$2:$A$20003,$E78,data2!P$2:P$20003)=0,"",SUMIF(data2!$A$2:$A$20003,$E78,data2!P$2:P$20003)))),0)</f>
        <v/>
      </c>
      <c r="O78" s="94" t="str">
        <f>IFERROR(IF(E$1="","",(IF(SUMIF(data2!$A$2:$A$20003,$E78,data2!Q$2:Q$20003)=0,"",SUMIF(data2!$A$2:$A$20003,$E78,data2!Q$2:Q$20003)))),0)</f>
        <v/>
      </c>
    </row>
    <row r="79" spans="2:15" x14ac:dyDescent="0.3">
      <c r="B79" t="s">
        <v>44250</v>
      </c>
      <c r="C79" t="str">
        <f>B79&amp;8</f>
        <v>TF-CBT8</v>
      </c>
      <c r="D79" t="s">
        <v>45428</v>
      </c>
      <c r="E79" t="str">
        <f t="shared" si="2"/>
        <v>UniversalTF-CBT CombinedFeb-25</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x14ac:dyDescent="0.3">
      <c r="B80" t="s">
        <v>44254</v>
      </c>
      <c r="C80" t="str">
        <f>B80&amp;1</f>
        <v>TIP1</v>
      </c>
      <c r="D80" t="s">
        <v>45429</v>
      </c>
      <c r="E80" t="str">
        <f t="shared" si="2"/>
        <v>Community ConnectionsTIP CombinedFeb-25</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x14ac:dyDescent="0.3">
      <c r="B81" t="s">
        <v>44254</v>
      </c>
      <c r="C81" t="str">
        <f>B81&amp;2</f>
        <v>TIP2</v>
      </c>
      <c r="D81" t="s">
        <v>45430</v>
      </c>
      <c r="E81" t="str">
        <f t="shared" si="2"/>
        <v>ContemporaryTIP CombinedFeb-25</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x14ac:dyDescent="0.3">
      <c r="B82" t="s">
        <v>44254</v>
      </c>
      <c r="C82" t="str">
        <f>B82&amp;3</f>
        <v>TIP3</v>
      </c>
      <c r="D82" t="s">
        <v>45431</v>
      </c>
      <c r="E82" t="str">
        <f t="shared" si="2"/>
        <v>FPSTIP CombinedFeb-25</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x14ac:dyDescent="0.3">
      <c r="B83" t="s">
        <v>44254</v>
      </c>
      <c r="C83" t="str">
        <f>B83&amp;4</f>
        <v>TIP4</v>
      </c>
      <c r="D83" t="s">
        <v>45432</v>
      </c>
      <c r="E83" t="str">
        <f t="shared" si="2"/>
        <v>Green DoorTIP CombinedFeb-25</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x14ac:dyDescent="0.3">
      <c r="B84" t="s">
        <v>44254</v>
      </c>
      <c r="C84" t="str">
        <f>B84&amp;5</f>
        <v>TIP5</v>
      </c>
      <c r="D84" t="s">
        <v>45433</v>
      </c>
      <c r="E84" t="str">
        <f t="shared" si="2"/>
        <v>LESTIP CombinedFeb-25</v>
      </c>
      <c r="F84" t="s">
        <v>44281</v>
      </c>
      <c r="G84" s="8">
        <f>IFERROR(IF(E$1="","",(IF(SUMIF(data2!$A$2:$A$30003,$E84,data2!I$2:I$30003)=0,"",SUMIF(data2!$A$2:$A$30003,$E84,data2!I$2:I$30003)))/IF(SUMIF(data2!$A$2:$A$30003,$E84,data2!J$2:J$30003)=0,"",SUMIF(data2!$A$2:$A$30003,$E84,data2!J$2:J$30003))),0)</f>
        <v>0.31428571428571428</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2">
        <f>IFERROR(IF(E$1="","",(IF(SUMIF(data2!$A$2:$A$30003,$E84,data2!F$2:F$30003)=0,"",SUMIF(data2!$A$2:$A$30003,$E84,data2!F$2:F$30003)))),0)</f>
        <v>2.5</v>
      </c>
      <c r="L84" s="92">
        <f>IFERROR(IF(E$1="","",(IF(SUMIF(data2!$A$2:$A$30003,$E84,data2!G$2:G$30003)=0,"",SUMIF(data2!$A$2:$A$30003,$E84,data2!G$2:G$30003)))),0)</f>
        <v>2.5</v>
      </c>
      <c r="M84" s="8">
        <f>IFERROR(IF(E$1="","",(IF(SUMIF(data2!$A$2:$A$30003,$E84,data2!P$2:P$30003)=0,"",SUMIF(data2!$A$2:$A$30003,$E84,data2!P$2:P$30003)))/IF(SUMIF(data2!$A$2:$A$30003,$E84,data2!Q$2:Q$30003)=0,"",SUMIF(data2!$A$2:$A$30003,$E84,data2!Q$2:Q$30003))),0)</f>
        <v>0</v>
      </c>
      <c r="N84" s="94" t="str">
        <f>IFERROR(IF(E$1="","",(IF(SUMIF(data2!$A$2:$A$20003,$E84,data2!P$2:P$20003)=0,"",SUMIF(data2!$A$2:$A$20003,$E84,data2!P$2:P$20003)))),0)</f>
        <v/>
      </c>
      <c r="O84" s="94" t="str">
        <f>IFERROR(IF(E$1="","",(IF(SUMIF(data2!$A$2:$A$20003,$E84,data2!Q$2:Q$20003)=0,"",SUMIF(data2!$A$2:$A$20003,$E84,data2!Q$2:Q$20003)))),0)</f>
        <v/>
      </c>
    </row>
    <row r="85" spans="2:15" x14ac:dyDescent="0.3">
      <c r="B85" t="s">
        <v>44254</v>
      </c>
      <c r="C85" t="str">
        <f>B85&amp;6</f>
        <v>TIP6</v>
      </c>
      <c r="D85" t="s">
        <v>45434</v>
      </c>
      <c r="E85" t="str">
        <f t="shared" si="2"/>
        <v>MBI HSTIP CombinedFeb-25</v>
      </c>
      <c r="F85" t="s">
        <v>45375</v>
      </c>
      <c r="G85" s="8">
        <f>IFERROR(IF(E$1="","",(IF(SUMIF(data2!$A$2:$A$30003,$E85,data2!I$2:I$30003)=0,"",SUMIF(data2!$A$2:$A$30003,$E85,data2!I$2:I$30003)))/IF(SUMIF(data2!$A$2:$A$30003,$E85,data2!J$2:J$30003)=0,"",SUMIF(data2!$A$2:$A$30003,$E85,data2!J$2:J$30003))),0)</f>
        <v>0.48749999999999999</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0.77777777777777779</v>
      </c>
      <c r="K85" s="92">
        <f>IFERROR(IF(E$1="","",(IF(SUMIF(data2!$A$2:$A$30003,$E85,data2!F$2:F$30003)=0,"",SUMIF(data2!$A$2:$A$30003,$E85,data2!F$2:F$30003)))),0)</f>
        <v>7</v>
      </c>
      <c r="L85" s="92">
        <f>IFERROR(IF(E$1="","",(IF(SUMIF(data2!$A$2:$A$30003,$E85,data2!G$2:G$30003)=0,"",SUMIF(data2!$A$2:$A$30003,$E85,data2!G$2:G$30003)))),0)</f>
        <v>9</v>
      </c>
      <c r="M85" s="8">
        <f>IFERROR(IF(E$1="","",(IF(SUMIF(data2!$A$2:$A$30003,$E85,data2!P$2:P$30003)=0,"",SUMIF(data2!$A$2:$A$30003,$E85,data2!P$2:P$30003)))/IF(SUMIF(data2!$A$2:$A$30003,$E85,data2!Q$2:Q$30003)=0,"",SUMIF(data2!$A$2:$A$30003,$E85,data2!Q$2:Q$30003))),0)</f>
        <v>0</v>
      </c>
      <c r="N85" s="94" t="str">
        <f>IFERROR(IF(E$1="","",(IF(SUMIF(data2!$A$2:$A$20003,$E85,data2!P$2:P$20003)=0,"",SUMIF(data2!$A$2:$A$20003,$E85,data2!P$2:P$20003)))),0)</f>
        <v/>
      </c>
      <c r="O85" s="94" t="str">
        <f>IFERROR(IF(E$1="","",(IF(SUMIF(data2!$A$2:$A$20003,$E85,data2!Q$2:Q$20003)=0,"",SUMIF(data2!$A$2:$A$20003,$E85,data2!Q$2:Q$20003)))),0)</f>
        <v/>
      </c>
    </row>
    <row r="86" spans="2:15" x14ac:dyDescent="0.3">
      <c r="B86" t="s">
        <v>44254</v>
      </c>
      <c r="C86" t="str">
        <f>B86&amp;7</f>
        <v>TIP7</v>
      </c>
      <c r="D86" t="s">
        <v>45435</v>
      </c>
      <c r="E86" t="str">
        <f t="shared" si="2"/>
        <v>PASSTIP CombinedFeb-25</v>
      </c>
      <c r="F86" t="s">
        <v>44303</v>
      </c>
      <c r="G86" s="8">
        <f>IFERROR(IF(E$1="","",(IF(SUMIF(data2!$A$2:$A$30003,$E86,data2!I$2:I$30003)=0,"",SUMIF(data2!$A$2:$A$30003,$E86,data2!I$2:I$30003)))/IF(SUMIF(data2!$A$2:$A$30003,$E86,data2!J$2:J$30003)=0,"",SUMIF(data2!$A$2:$A$30003,$E86,data2!J$2:J$30003))),0)</f>
        <v>1.3142857142857143</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0.875</v>
      </c>
      <c r="K86" s="92">
        <f>IFERROR(IF(E$1="","",(IF(SUMIF(data2!$A$2:$A$30003,$E86,data2!F$2:F$30003)=0,"",SUMIF(data2!$A$2:$A$30003,$E86,data2!F$2:F$30003)))),0)</f>
        <v>7</v>
      </c>
      <c r="L86" s="92">
        <f>IFERROR(IF(E$1="","",(IF(SUMIF(data2!$A$2:$A$30003,$E86,data2!G$2:G$30003)=0,"",SUMIF(data2!$A$2:$A$30003,$E86,data2!G$2:G$30003)))),0)</f>
        <v>8</v>
      </c>
      <c r="M86" s="8">
        <f>IFERROR(IF(E$1="","",(IF(SUMIF(data2!$A$2:$A$30003,$E86,data2!P$2:P$30003)=0,"",SUMIF(data2!$A$2:$A$30003,$E86,data2!P$2:P$30003)))/IF(SUMIF(data2!$A$2:$A$30003,$E86,data2!Q$2:Q$30003)=0,"",SUMIF(data2!$A$2:$A$30003,$E86,data2!Q$2:Q$30003))),0)</f>
        <v>0.5714285714285714</v>
      </c>
      <c r="N86" s="94" t="str">
        <f>IFERROR(IF(E$1="","",(IF(SUMIF(data2!$A$2:$A$20003,$E86,data2!P$2:P$20003)=0,"",SUMIF(data2!$A$2:$A$20003,$E86,data2!P$2:P$20003)))),0)</f>
        <v/>
      </c>
      <c r="O86" s="94" t="str">
        <f>IFERROR(IF(E$1="","",(IF(SUMIF(data2!$A$2:$A$20003,$E86,data2!Q$2:Q$20003)=0,"",SUMIF(data2!$A$2:$A$20003,$E86,data2!Q$2:Q$20003)))),0)</f>
        <v/>
      </c>
    </row>
    <row r="87" spans="2:15" x14ac:dyDescent="0.3">
      <c r="B87" t="s">
        <v>44254</v>
      </c>
      <c r="C87" t="str">
        <f>B87&amp;8</f>
        <v>TIP8</v>
      </c>
      <c r="D87" t="s">
        <v>45436</v>
      </c>
      <c r="E87" t="str">
        <f t="shared" si="2"/>
        <v>TFCCTIP CombinedFeb-25</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x14ac:dyDescent="0.3">
      <c r="B88" t="s">
        <v>44254</v>
      </c>
      <c r="C88" t="str">
        <f>B88&amp;9</f>
        <v>TIP9</v>
      </c>
      <c r="D88" t="s">
        <v>45386</v>
      </c>
      <c r="E88" t="str">
        <f t="shared" si="2"/>
        <v>UmbrellaTIP CombinedFeb-25</v>
      </c>
      <c r="F88" t="s">
        <v>45387</v>
      </c>
      <c r="G88" s="8">
        <f>IFERROR(IF(E$1="","",(IF(SUMIF(data2!$A$2:$A$30003,$E88,data2!I$2:I$30003)=0,"",SUMIF(data2!$A$2:$A$30003,$E88,data2!I$2:I$30003)))/IF(SUMIF(data2!$A$2:$A$30003,$E88,data2!J$2:J$30003)=0,"",SUMIF(data2!$A$2:$A$30003,$E88,data2!J$2:J$30003))),0)</f>
        <v>0.48484848484848486</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v>
      </c>
      <c r="K88" s="92">
        <f>IFERROR(IF(E$1="","",(IF(SUMIF(data2!$A$2:$A$30003,$E88,data2!F$2:F$30003)=0,"",SUMIF(data2!$A$2:$A$30003,$E88,data2!F$2:F$30003)))),0)</f>
        <v>6</v>
      </c>
      <c r="L88" s="92">
        <f>IFERROR(IF(E$1="","",(IF(SUMIF(data2!$A$2:$A$30003,$E88,data2!G$2:G$30003)=0,"",SUMIF(data2!$A$2:$A$30003,$E88,data2!G$2:G$30003)))),0)</f>
        <v>6</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x14ac:dyDescent="0.3">
      <c r="B89" t="s">
        <v>44254</v>
      </c>
      <c r="C89" t="str">
        <f>B89&amp;10</f>
        <v>TIP10</v>
      </c>
      <c r="D89" t="s">
        <v>45437</v>
      </c>
      <c r="E89" t="str">
        <f t="shared" si="2"/>
        <v>UniversalTIP CombinedFeb-25</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x14ac:dyDescent="0.3">
      <c r="B90" t="s">
        <v>44254</v>
      </c>
      <c r="C90" t="str">
        <f>B90&amp;11</f>
        <v>TIP11</v>
      </c>
      <c r="D90" t="s">
        <v>45438</v>
      </c>
      <c r="E90" t="str">
        <f t="shared" si="2"/>
        <v>Wayne PlaceTIP CombinedFeb-25</v>
      </c>
      <c r="F90" t="s">
        <v>45391</v>
      </c>
      <c r="G90" s="8">
        <f>IFERROR(IF(E$1="","",(IF(SUMIF(data2!$A$2:$A$30003,$E90,data2!I$2:I$30003)=0,"",SUMIF(data2!$A$2:$A$30003,$E90,data2!I$2:I$30003)))/IF(SUMIF(data2!$A$2:$A$30003,$E90,data2!J$2:J$30003)=0,"",SUMIF(data2!$A$2:$A$30003,$E90,data2!J$2:J$30003))),0)</f>
        <v>0.36363636363636365</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v>
      </c>
      <c r="N90" s="94" t="str">
        <f>IFERROR(IF(E$1="","",(IF(SUMIF(data2!$A$2:$A$20003,$E90,data2!P$2:P$20003)=0,"",SUMIF(data2!$A$2:$A$20003,$E90,data2!P$2:P$20003)))),0)</f>
        <v/>
      </c>
      <c r="O90" s="94" t="str">
        <f>IFERROR(IF(E$1="","",(IF(SUMIF(data2!$A$2:$A$20003,$E90,data2!Q$2:Q$20003)=0,"",SUMIF(data2!$A$2:$A$20003,$E90,data2!Q$2:Q$20003)))),0)</f>
        <v/>
      </c>
    </row>
    <row r="91" spans="2:15" x14ac:dyDescent="0.3">
      <c r="B91" t="s">
        <v>44258</v>
      </c>
      <c r="C91" t="str">
        <f>B91&amp;1</f>
        <v>TST1</v>
      </c>
      <c r="D91" t="s">
        <v>45439</v>
      </c>
      <c r="E91" t="str">
        <f t="shared" si="2"/>
        <v>Adoptions TogetherTST CombinedFeb-25</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x14ac:dyDescent="0.3">
      <c r="B92" t="s">
        <v>44258</v>
      </c>
      <c r="C92" t="str">
        <f>B92&amp;2</f>
        <v>TST2</v>
      </c>
      <c r="D92" t="s">
        <v>45440</v>
      </c>
      <c r="E92" t="str">
        <f t="shared" si="2"/>
        <v>ContemporaryTST CombinedFeb-25</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x14ac:dyDescent="0.3">
      <c r="B93" t="s">
        <v>44258</v>
      </c>
      <c r="C93" t="str">
        <f>B93&amp;3</f>
        <v>TST3</v>
      </c>
      <c r="D93" t="s">
        <v>45441</v>
      </c>
      <c r="E93" t="str">
        <f t="shared" si="2"/>
        <v>Family MattersTST CombinedFeb-25</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x14ac:dyDescent="0.3">
      <c r="B94" t="s">
        <v>44258</v>
      </c>
      <c r="C94" t="str">
        <f>B94&amp;4</f>
        <v>TST4</v>
      </c>
      <c r="D94" t="s">
        <v>45442</v>
      </c>
      <c r="E94" t="str">
        <f t="shared" si="2"/>
        <v>First Home CareTST CombinedFeb-25</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x14ac:dyDescent="0.3">
      <c r="B95" t="s">
        <v>44258</v>
      </c>
      <c r="C95" t="str">
        <f>B95&amp;5</f>
        <v>TST5</v>
      </c>
      <c r="D95" t="s">
        <v>45443</v>
      </c>
      <c r="E95" t="str">
        <f t="shared" si="2"/>
        <v>Foundations for Home &amp; CommunityTST CombinedFeb-25</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x14ac:dyDescent="0.3">
      <c r="B96" t="s">
        <v>44258</v>
      </c>
      <c r="C96" t="str">
        <f>B96&amp;6</f>
        <v>TST6</v>
      </c>
      <c r="D96" t="s">
        <v>45444</v>
      </c>
      <c r="E96" t="str">
        <f t="shared" si="2"/>
        <v>HillcrestTST CombinedFeb-25</v>
      </c>
      <c r="F96" t="s">
        <v>45367</v>
      </c>
      <c r="G96" s="8">
        <f>IFERROR(IF(E$1="","",(IF(SUMIF(data2!$A$2:$A$30003,$E96,data2!I$2:I$30003)=0,"",SUMIF(data2!$A$2:$A$30003,$E96,data2!I$2:I$30003)))/IF(SUMIF(data2!$A$2:$A$30003,$E96,data2!J$2:J$30003)=0,"",SUMIF(data2!$A$2:$A$30003,$E96,data2!J$2:J$30003))),0)</f>
        <v>0.65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2.3333333333333335</v>
      </c>
      <c r="K96" s="92">
        <f>IFERROR(IF(E$1="","",(IF(SUMIF(data2!$A$2:$A$30003,$E96,data2!F$2:F$30003)=0,"",SUMIF(data2!$A$2:$A$30003,$E96,data2!F$2:F$30003)))),0)</f>
        <v>3.5</v>
      </c>
      <c r="L96" s="92">
        <f>IFERROR(IF(E$1="","",(IF(SUMIF(data2!$A$2:$A$30003,$E96,data2!G$2:G$30003)=0,"",SUMIF(data2!$A$2:$A$30003,$E96,data2!G$2:G$30003)))),0)</f>
        <v>1.5</v>
      </c>
      <c r="M96" s="8">
        <f>IFERROR(IF(E$1="","",(IF(SUMIF(data2!$A$2:$A$30003,$E96,data2!P$2:P$30003)=0,"",SUMIF(data2!$A$2:$A$30003,$E96,data2!P$2:P$30003)))/IF(SUMIF(data2!$A$2:$A$30003,$E96,data2!Q$2:Q$30003)=0,"",SUMIF(data2!$A$2:$A$30003,$E96,data2!Q$2:Q$30003))),0)</f>
        <v>1</v>
      </c>
      <c r="N96" s="94" t="str">
        <f>IFERROR(IF(E$1="","",(IF(SUMIF(data2!$A$2:$A$20003,$E96,data2!P$2:P$20003)=0,"",SUMIF(data2!$A$2:$A$20003,$E96,data2!P$2:P$20003)))),0)</f>
        <v/>
      </c>
      <c r="O96" s="94" t="str">
        <f>IFERROR(IF(E$1="","",(IF(SUMIF(data2!$A$2:$A$20003,$E96,data2!Q$2:Q$20003)=0,"",SUMIF(data2!$A$2:$A$20003,$E96,data2!Q$2:Q$20003)))),0)</f>
        <v/>
      </c>
    </row>
    <row r="97" spans="2:26" x14ac:dyDescent="0.3">
      <c r="B97" t="s">
        <v>44258</v>
      </c>
      <c r="C97" t="str">
        <f>B97&amp;7</f>
        <v>TST7</v>
      </c>
      <c r="D97" t="s">
        <v>45445</v>
      </c>
      <c r="E97" t="str">
        <f t="shared" si="2"/>
        <v>MD Family ResourcesTST CombinedFeb-25</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1</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x14ac:dyDescent="0.3">
      <c r="B98" t="s">
        <v>44218</v>
      </c>
      <c r="C98" t="str">
        <f>B98&amp;3</f>
        <v>CPP-FV3</v>
      </c>
      <c r="D98" t="s">
        <v>45446</v>
      </c>
      <c r="E98" t="str">
        <f t="shared" si="2"/>
        <v>Marys CenterCPP-FV CombinedFeb-25</v>
      </c>
      <c r="F98" t="s">
        <v>45373</v>
      </c>
      <c r="G98" s="8">
        <f>IFERROR(IF(E$1="","",(IF(SUMIF(data2!$A$2:$A$30003,$E98,data2!I$2:I$30003)=0,"",SUMIF(data2!$A$2:$A$30003,$E98,data2!I$2:I$30003)))/IF(SUMIF(data2!$A$2:$A$30003,$E98,data2!J$2:J$30003)=0,"",SUMIF(data2!$A$2:$A$30003,$E98,data2!J$2:J$30003))),0)</f>
        <v>0.66666666666666663</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0.6</v>
      </c>
      <c r="K98" s="92">
        <f>IFERROR(IF(E$1="","",(IF(SUMIF(data2!$A$2:$A$30003,$E98,data2!F$2:F$30003)=0,"",SUMIF(data2!$A$2:$A$30003,$E98,data2!F$2:F$30003)))),0)</f>
        <v>1.5</v>
      </c>
      <c r="L98" s="92">
        <f>IFERROR(IF(E$1="","",(IF(SUMIF(data2!$A$2:$A$30003,$E98,data2!G$2:G$30003)=0,"",SUMIF(data2!$A$2:$A$30003,$E98,data2!G$2:G$30003)))),0)</f>
        <v>2.5</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x14ac:dyDescent="0.3">
      <c r="B99" t="s">
        <v>44218</v>
      </c>
      <c r="C99" t="str">
        <f>B99&amp;4</f>
        <v>CPP-FV4</v>
      </c>
      <c r="D99" t="s">
        <v>45447</v>
      </c>
      <c r="E99" t="str">
        <f t="shared" si="2"/>
        <v>Medstar GeorgetownCPP-FV CombinedFeb-25</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x14ac:dyDescent="0.3">
      <c r="B100" t="s">
        <v>44218</v>
      </c>
      <c r="C100" t="str">
        <f>B100&amp;5</f>
        <v>CPP-FV5</v>
      </c>
      <c r="D100" t="s">
        <v>45448</v>
      </c>
      <c r="E100" t="str">
        <f t="shared" si="2"/>
        <v>PIECECPP-FV CombinedFeb-25</v>
      </c>
      <c r="F100" t="s">
        <v>44356</v>
      </c>
      <c r="G100" s="8">
        <f>IFERROR(IF(E$1="","",(IF(SUMIF(data2!$A$2:$A$30003,$E100,data2!I$2:I$30003)=0,"",SUMIF(data2!$A$2:$A$30003,$E100,data2!I$2:I$30003)))/IF(SUMIF(data2!$A$2:$A$30003,$E100,data2!J$2:J$30003)=0,"",SUMIF(data2!$A$2:$A$30003,$E100,data2!J$2:J$30003))),0)</f>
        <v>0.26666666666666666</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1.2</v>
      </c>
      <c r="K100" s="92">
        <f>IFERROR(IF(E$1="","",(IF(SUMIF(data2!$A$2:$A$30003,$E100,data2!F$2:F$30003)=0,"",SUMIF(data2!$A$2:$A$30003,$E100,data2!F$2:F$30003)))),0)</f>
        <v>3</v>
      </c>
      <c r="L100" s="92">
        <f>IFERROR(IF(E$1="","",(IF(SUMIF(data2!$A$2:$A$30003,$E100,data2!G$2:G$30003)=0,"",SUMIF(data2!$A$2:$A$30003,$E100,data2!G$2:G$30003)))),0)</f>
        <v>2.5</v>
      </c>
      <c r="M100" s="8">
        <f>IFERROR(IF(E$1="","",(IF(SUMIF(data2!$A$2:$A$30003,$E100,data2!P$2:P$30003)=0,"",SUMIF(data2!$A$2:$A$30003,$E100,data2!P$2:P$30003)))/IF(SUMIF(data2!$A$2:$A$30003,$E100,data2!Q$2:Q$30003)=0,"",SUMIF(data2!$A$2:$A$30003,$E100,data2!Q$2:Q$30003))),0)</f>
        <v>0</v>
      </c>
      <c r="N100" s="94" t="str">
        <f>IFERROR(IF(E$1="","",(IF(SUMIF(data2!$A$2:$A$20003,$E100,data2!P$2:P$20003)=0,"",SUMIF(data2!$A$2:$A$20003,$E100,data2!P$2:P$20003)))),0)</f>
        <v/>
      </c>
      <c r="O100" s="94" t="str">
        <f>IFERROR(IF(E$1="","",(IF(SUMIF(data2!$A$2:$A$20003,$E100,data2!Q$2:Q$20003)=0,"",SUMIF(data2!$A$2:$A$20003,$E100,data2!Q$2:Q$20003)))),0)</f>
        <v/>
      </c>
    </row>
    <row r="101" spans="2:26" x14ac:dyDescent="0.3">
      <c r="B101" t="s">
        <v>44218</v>
      </c>
      <c r="C101" t="str">
        <f>B101&amp;6</f>
        <v>CPP-FV6</v>
      </c>
      <c r="D101" t="s">
        <v>45449</v>
      </c>
      <c r="E101" t="str">
        <f t="shared" si="2"/>
        <v>Community ConnectionsCPP-FV CombinedFeb-25</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x14ac:dyDescent="0.3">
      <c r="B102" t="s">
        <v>44238</v>
      </c>
      <c r="C102" t="str">
        <f>B102&amp;1</f>
        <v>PCIT1</v>
      </c>
      <c r="D102" t="s">
        <v>45450</v>
      </c>
      <c r="E102" t="str">
        <f t="shared" si="2"/>
        <v>Community ConnectionsPCIT CombinedFeb-25</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x14ac:dyDescent="0.3">
      <c r="B103" t="s">
        <v>44238</v>
      </c>
      <c r="C103" t="str">
        <f>B103&amp;2</f>
        <v>PCIT2</v>
      </c>
      <c r="D103" t="s">
        <v>45451</v>
      </c>
      <c r="E103" t="str">
        <f t="shared" si="2"/>
        <v>Marys CenterPCIT CombinedFeb-25</v>
      </c>
      <c r="F103" t="s">
        <v>45373</v>
      </c>
      <c r="G103" s="8">
        <f>IFERROR(IF(E$1="","",(IF(SUMIF(data2!$A$2:$A$30003,$E103,data2!I$2:I$30003)=0,"",SUMIF(data2!$A$2:$A$30003,$E103,data2!I$2:I$30003)))/IF(SUMIF(data2!$A$2:$A$30003,$E103,data2!J$2:J$30003)=0,"",SUMIF(data2!$A$2:$A$30003,$E103,data2!J$2:J$30003))),0)</f>
        <v>0.125</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0.75</v>
      </c>
      <c r="K103" s="92">
        <f>IFERROR(IF(E$1="","",(IF(SUMIF(data2!$A$2:$A$30003,$E103,data2!F$2:F$30003)=0,"",SUMIF(data2!$A$2:$A$30003,$E103,data2!F$2:F$30003)))),0)</f>
        <v>1.5</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4" t="str">
        <f>IFERROR(IF(E$1="","",(IF(SUMIF(data2!$A$2:$A$20003,$E103,data2!P$2:P$20003)=0,"",SUMIF(data2!$A$2:$A$20003,$E103,data2!P$2:P$20003)))),0)</f>
        <v/>
      </c>
      <c r="O103" s="94" t="str">
        <f>IFERROR(IF(E$1="","",(IF(SUMIF(data2!$A$2:$A$20003,$E103,data2!Q$2:Q$20003)=0,"",SUMIF(data2!$A$2:$A$20003,$E103,data2!Q$2:Q$20003)))),0)</f>
        <v/>
      </c>
    </row>
    <row r="104" spans="2:26" x14ac:dyDescent="0.3">
      <c r="B104" t="s">
        <v>44238</v>
      </c>
      <c r="C104" t="str">
        <f>B104&amp;3</f>
        <v>PCIT3</v>
      </c>
      <c r="D104" t="s">
        <v>45452</v>
      </c>
      <c r="E104" t="str">
        <f t="shared" si="2"/>
        <v>Medstar GeorgetownPCIT CombinedFeb-25</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x14ac:dyDescent="0.3">
      <c r="B105" t="s">
        <v>44238</v>
      </c>
      <c r="C105" t="str">
        <f>B105&amp;4</f>
        <v>PCIT4</v>
      </c>
      <c r="D105" t="s">
        <v>45453</v>
      </c>
      <c r="E105" t="str">
        <f t="shared" si="2"/>
        <v>PIECEPCIT CombinedFeb-25</v>
      </c>
      <c r="F105" t="s">
        <v>44356</v>
      </c>
      <c r="G105" s="8">
        <f>IFERROR(IF(E$1="","",(IF(SUMIF(data2!$A$2:$A$30003,$E105,data2!I$2:I$30003)=0,"",SUMIF(data2!$A$2:$A$30003,$E105,data2!I$2:I$30003)))/IF(SUMIF(data2!$A$2:$A$30003,$E105,data2!J$2:J$30003)=0,"",SUMIF(data2!$A$2:$A$30003,$E105,data2!J$2:J$30003))),0)</f>
        <v>0.2857142857142857</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1</v>
      </c>
      <c r="K105" s="92">
        <f>IFERROR(IF(E$1="","",(IF(SUMIF(data2!$A$2:$A$30003,$E105,data2!F$2:F$30003)=0,"",SUMIF(data2!$A$2:$A$30003,$E105,data2!F$2:F$30003)))),0)</f>
        <v>1.5</v>
      </c>
      <c r="L105" s="92">
        <f>IFERROR(IF(E$1="","",(IF(SUMIF(data2!$A$2:$A$30003,$E105,data2!G$2:G$30003)=0,"",SUMIF(data2!$A$2:$A$30003,$E105,data2!G$2:G$30003)))),0)</f>
        <v>1.5</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x14ac:dyDescent="0.3">
      <c r="B106" t="s">
        <v>44242</v>
      </c>
      <c r="C106" t="s">
        <v>44796</v>
      </c>
      <c r="D106" t="s">
        <v>45454</v>
      </c>
      <c r="E106" t="str">
        <f t="shared" si="2"/>
        <v>Marys CenterPCIT-T CombinedFeb-25</v>
      </c>
      <c r="F106" t="s">
        <v>45373</v>
      </c>
      <c r="G106" s="8">
        <f>IFERROR(IF(E$1="","",(IF(SUMIF(data2!$A$2:$A$30003,$E106,data2!I$2:I$30003)=0,"",SUMIF(data2!$A$2:$A$30003,$E106,data2!I$2:I$30003)))/IF(SUMIF(data2!$A$2:$A$30003,$E106,data2!J$2:J$30003)=0,"",SUMIF(data2!$A$2:$A$30003,$E106,data2!J$2:J$30003))),0)</f>
        <v>0</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0.5</v>
      </c>
      <c r="K106" s="92">
        <f>IFERROR(IF(E$1="","",(IF(SUMIF(data2!$A$2:$A$30003,$E106,data2!F$2:F$30003)=0,"",SUMIF(data2!$A$2:$A$30003,$E106,data2!F$2:F$30003)))),0)</f>
        <v>1</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4" t="str">
        <f>IFERROR(IF(E$1="","",(IF(SUMIF(data2!$A$2:$A$20003,$E106,data2!P$2:P$20003)=0,"",SUMIF(data2!$A$2:$A$20003,$E106,data2!P$2:P$20003)))),0)</f>
        <v/>
      </c>
      <c r="O106" s="94" t="str">
        <f>IFERROR(IF(E$1="","",(IF(SUMIF(data2!$A$2:$A$20003,$E106,data2!Q$2:Q$20003)=0,"",SUMIF(data2!$A$2:$A$20003,$E106,data2!Q$2:Q$20003)))),0)</f>
        <v/>
      </c>
    </row>
    <row r="107" spans="2:26" x14ac:dyDescent="0.3">
      <c r="B107" t="s">
        <v>44242</v>
      </c>
      <c r="C107" t="s">
        <v>44798</v>
      </c>
      <c r="D107" t="s">
        <v>45455</v>
      </c>
      <c r="E107" t="str">
        <f t="shared" si="2"/>
        <v>PIECEPCIT-T CombinedFeb-25</v>
      </c>
      <c r="F107" t="s">
        <v>44356</v>
      </c>
      <c r="G107" s="8">
        <f>IFERROR(IF(E$1="","",(IF(SUMIF(data2!$A$2:$A$30003,$E107,data2!I$2:I$30003)=0,"",SUMIF(data2!$A$2:$A$30003,$E107,data2!I$2:I$30003)))/IF(SUMIF(data2!$A$2:$A$30003,$E107,data2!J$2:J$30003)=0,"",SUMIF(data2!$A$2:$A$30003,$E107,data2!J$2:J$30003))),0)</f>
        <v>1</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x14ac:dyDescent="0.3">
      <c r="G108" s="8"/>
      <c r="H108" s="6"/>
      <c r="I108" s="6"/>
      <c r="J108" s="8"/>
      <c r="K108" s="92"/>
      <c r="L108" s="92"/>
      <c r="M108" s="8"/>
      <c r="N108" s="94"/>
      <c r="O108" s="94"/>
    </row>
    <row r="109" spans="2:26" x14ac:dyDescent="0.3">
      <c r="G109" s="8"/>
      <c r="H109" s="6"/>
      <c r="I109" s="6"/>
      <c r="J109" s="8"/>
      <c r="K109" s="92"/>
      <c r="L109" s="92"/>
      <c r="M109" s="8"/>
      <c r="N109" s="94"/>
      <c r="O109" s="94"/>
    </row>
    <row r="110" spans="2:26" x14ac:dyDescent="0.3">
      <c r="G110" s="8"/>
      <c r="H110" s="8"/>
      <c r="I110" s="8"/>
    </row>
    <row r="111" spans="2:26" ht="26.4" thickBot="1" x14ac:dyDescent="0.55000000000000004">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x14ac:dyDescent="0.3">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x14ac:dyDescent="0.3">
      <c r="D113" s="79"/>
      <c r="E113" s="37" t="str">
        <f>E4</f>
        <v>AllAll CombinedFeb-25</v>
      </c>
      <c r="F113" s="80" t="str">
        <f>F4</f>
        <v>All</v>
      </c>
      <c r="G113" s="81">
        <f>G4</f>
        <v>0.6716738197424893</v>
      </c>
      <c r="H113" s="89" t="str">
        <f>H4</f>
        <v/>
      </c>
      <c r="I113" s="89" t="str">
        <f>I4</f>
        <v/>
      </c>
      <c r="J113" s="82"/>
      <c r="K113" s="8"/>
      <c r="L113" s="79"/>
      <c r="M113" s="37" t="str">
        <f>E113</f>
        <v>AllAll CombinedFeb-25</v>
      </c>
      <c r="N113" s="37" t="str">
        <f>F113</f>
        <v>All</v>
      </c>
      <c r="O113" s="81">
        <f>J4</f>
        <v>0.74404761904761907</v>
      </c>
      <c r="P113" s="89" t="str">
        <f>K4</f>
        <v/>
      </c>
      <c r="Q113" s="89" t="str">
        <f>L4</f>
        <v/>
      </c>
      <c r="R113" s="82"/>
      <c r="T113" s="79"/>
      <c r="U113" s="37" t="str">
        <f t="shared" ref="U113:U126" si="3">M113</f>
        <v>AllAll CombinedFeb-25</v>
      </c>
      <c r="V113" s="37" t="str">
        <f t="shared" ref="V113:V126" si="4">N113</f>
        <v>All</v>
      </c>
      <c r="W113" s="81">
        <f>M4</f>
        <v>0.54166666666666663</v>
      </c>
      <c r="X113" s="89" t="str">
        <f>N4</f>
        <v/>
      </c>
      <c r="Y113" s="89" t="str">
        <f>O4</f>
        <v/>
      </c>
      <c r="Z113" s="82"/>
    </row>
    <row r="114" spans="4:26" x14ac:dyDescent="0.3">
      <c r="D114" s="79">
        <f t="shared" ref="D114:D125" si="5">RANK(G114,G$114:G$126,0)</f>
        <v>10</v>
      </c>
      <c r="E114" s="37" t="str">
        <f t="shared" ref="E114:F126" si="6">E5</f>
        <v>All ABC ProvidersABC CombinedFeb-25</v>
      </c>
      <c r="F114" s="80" t="str">
        <f t="shared" si="6"/>
        <v>ABC</v>
      </c>
      <c r="G114" s="81">
        <f>G5+0.000011</f>
        <v>1.1E-5</v>
      </c>
      <c r="H114" s="89" t="str">
        <f t="shared" ref="H114:I117" si="7">H5</f>
        <v/>
      </c>
      <c r="I114" s="89" t="str">
        <f t="shared" si="7"/>
        <v/>
      </c>
      <c r="J114" s="82"/>
      <c r="K114" s="8"/>
      <c r="L114" s="79">
        <f t="shared" ref="L114:L126" si="8">RANK(O114,O$114:O$126,0)</f>
        <v>13</v>
      </c>
      <c r="M114" s="37" t="str">
        <f>E114</f>
        <v>All ABC ProvidersABC CombinedFeb-25</v>
      </c>
      <c r="N114" s="37" t="str">
        <f>F114</f>
        <v>ABC</v>
      </c>
      <c r="O114" s="81">
        <f>J5+0.000001</f>
        <v>9.9999999999999995E-7</v>
      </c>
      <c r="P114" s="89" t="str">
        <f t="shared" ref="P114:Q117" si="9">K5</f>
        <v/>
      </c>
      <c r="Q114" s="89" t="str">
        <f t="shared" si="9"/>
        <v/>
      </c>
      <c r="R114" s="82"/>
      <c r="T114" s="79">
        <f t="shared" ref="T114:T126" si="10">RANK(W114,W$114:W$126,0)</f>
        <v>13</v>
      </c>
      <c r="U114" s="37" t="str">
        <f t="shared" si="3"/>
        <v>All ABC ProvidersABC CombinedFeb-25</v>
      </c>
      <c r="V114" s="37" t="str">
        <f t="shared" si="4"/>
        <v>ABC</v>
      </c>
      <c r="W114" s="81">
        <f>M5+0.000001</f>
        <v>9.9999999999999995E-7</v>
      </c>
      <c r="X114" s="89" t="str">
        <f t="shared" ref="X114:Y117" si="11">N5</f>
        <v/>
      </c>
      <c r="Y114" s="89" t="str">
        <f t="shared" si="11"/>
        <v/>
      </c>
      <c r="Z114" s="82"/>
    </row>
    <row r="115" spans="4:26" x14ac:dyDescent="0.3">
      <c r="D115" s="79">
        <f t="shared" si="5"/>
        <v>13</v>
      </c>
      <c r="E115" s="37" t="str">
        <f t="shared" si="6"/>
        <v>All A-CRA ProvidersA-CRA CombinedFeb-25</v>
      </c>
      <c r="F115" s="80" t="str">
        <f t="shared" si="6"/>
        <v>*A-CRA</v>
      </c>
      <c r="G115" s="81">
        <f>G6+0.000001</f>
        <v>9.9999999999999995E-7</v>
      </c>
      <c r="H115" s="89" t="str">
        <f t="shared" si="7"/>
        <v/>
      </c>
      <c r="I115" s="89" t="str">
        <f t="shared" si="7"/>
        <v/>
      </c>
      <c r="J115" s="82"/>
      <c r="K115" s="8"/>
      <c r="L115" s="79">
        <f t="shared" si="8"/>
        <v>12</v>
      </c>
      <c r="M115" s="37" t="str">
        <f t="shared" ref="M115:M125" si="12">E115</f>
        <v>All A-CRA ProvidersA-CRA CombinedFeb-25</v>
      </c>
      <c r="N115" s="37" t="str">
        <f t="shared" ref="N115:N125" si="13">F115</f>
        <v>*A-CRA</v>
      </c>
      <c r="O115" s="81">
        <f>J6+0.000002</f>
        <v>1.9999999999999999E-6</v>
      </c>
      <c r="P115" s="89" t="str">
        <f t="shared" si="9"/>
        <v/>
      </c>
      <c r="Q115" s="89" t="str">
        <f t="shared" si="9"/>
        <v/>
      </c>
      <c r="R115" s="82"/>
      <c r="T115" s="79">
        <f t="shared" si="10"/>
        <v>12</v>
      </c>
      <c r="U115" s="37" t="str">
        <f t="shared" si="3"/>
        <v>All A-CRA ProvidersA-CRA CombinedFeb-25</v>
      </c>
      <c r="V115" s="37" t="str">
        <f t="shared" si="4"/>
        <v>*A-CRA</v>
      </c>
      <c r="W115" s="81">
        <f>M6+0.000002</f>
        <v>1.9999999999999999E-6</v>
      </c>
      <c r="X115" s="89" t="str">
        <f t="shared" si="11"/>
        <v/>
      </c>
      <c r="Y115" s="89" t="str">
        <f t="shared" si="11"/>
        <v/>
      </c>
      <c r="Z115" s="82"/>
    </row>
    <row r="116" spans="4:26" x14ac:dyDescent="0.3">
      <c r="D116" s="79">
        <f t="shared" si="5"/>
        <v>8</v>
      </c>
      <c r="E116" s="37" t="str">
        <f t="shared" si="6"/>
        <v>All CPP-FV ProvidersCPP-FV CombinedFeb-25</v>
      </c>
      <c r="F116" s="80" t="str">
        <f t="shared" si="6"/>
        <v>CPP-FV</v>
      </c>
      <c r="G116" s="81">
        <f>G7+0.000002</f>
        <v>0.41666866666666669</v>
      </c>
      <c r="H116" s="89" t="str">
        <f t="shared" si="7"/>
        <v/>
      </c>
      <c r="I116" s="89" t="str">
        <f t="shared" si="7"/>
        <v/>
      </c>
      <c r="J116" s="82"/>
      <c r="K116" s="8"/>
      <c r="L116" s="79">
        <f t="shared" si="8"/>
        <v>2</v>
      </c>
      <c r="M116" s="37" t="str">
        <f t="shared" si="12"/>
        <v>All CPP-FV ProvidersCPP-FV CombinedFeb-25</v>
      </c>
      <c r="N116" s="37" t="str">
        <f t="shared" si="13"/>
        <v>CPP-FV</v>
      </c>
      <c r="O116" s="81">
        <f>J7+0.000003</f>
        <v>0.900003</v>
      </c>
      <c r="P116" s="89" t="str">
        <f t="shared" si="9"/>
        <v/>
      </c>
      <c r="Q116" s="89" t="str">
        <f t="shared" si="9"/>
        <v/>
      </c>
      <c r="R116" s="82"/>
      <c r="T116" s="79">
        <f t="shared" si="10"/>
        <v>11</v>
      </c>
      <c r="U116" s="37" t="str">
        <f t="shared" si="3"/>
        <v>All CPP-FV ProvidersCPP-FV CombinedFeb-25</v>
      </c>
      <c r="V116" s="37" t="str">
        <f t="shared" si="4"/>
        <v>CPP-FV</v>
      </c>
      <c r="W116" s="81">
        <f>M7+0.000003</f>
        <v>3.0000000000000001E-6</v>
      </c>
      <c r="X116" s="89" t="str">
        <f t="shared" si="11"/>
        <v/>
      </c>
      <c r="Y116" s="89" t="str">
        <f t="shared" si="11"/>
        <v/>
      </c>
      <c r="Z116" s="82"/>
    </row>
    <row r="117" spans="4:26" x14ac:dyDescent="0.3">
      <c r="D117" s="79">
        <f t="shared" si="5"/>
        <v>3</v>
      </c>
      <c r="E117" s="37" t="str">
        <f t="shared" si="6"/>
        <v>All FFT ProvidersFFT CombinedFeb-25</v>
      </c>
      <c r="F117" s="80" t="str">
        <f t="shared" si="6"/>
        <v>FFT</v>
      </c>
      <c r="G117" s="81">
        <f>G8+0.000003</f>
        <v>0.72414093103448274</v>
      </c>
      <c r="H117" s="89" t="str">
        <f t="shared" si="7"/>
        <v/>
      </c>
      <c r="I117" s="89" t="str">
        <f t="shared" si="7"/>
        <v/>
      </c>
      <c r="J117" s="82"/>
      <c r="K117" s="8"/>
      <c r="L117" s="79">
        <f t="shared" si="8"/>
        <v>7</v>
      </c>
      <c r="M117" s="37" t="str">
        <f t="shared" si="12"/>
        <v>All FFT ProvidersFFT CombinedFeb-25</v>
      </c>
      <c r="N117" s="37" t="str">
        <f t="shared" si="13"/>
        <v>FFT</v>
      </c>
      <c r="O117" s="81">
        <f>J8+0.000004</f>
        <v>0.625004</v>
      </c>
      <c r="P117" s="89" t="str">
        <f t="shared" si="9"/>
        <v/>
      </c>
      <c r="Q117" s="89" t="str">
        <f t="shared" si="9"/>
        <v/>
      </c>
      <c r="R117" s="82"/>
      <c r="T117" s="79">
        <f t="shared" si="10"/>
        <v>5</v>
      </c>
      <c r="U117" s="37" t="str">
        <f t="shared" si="3"/>
        <v>All FFT ProvidersFFT CombinedFeb-25</v>
      </c>
      <c r="V117" s="37" t="str">
        <f t="shared" si="4"/>
        <v>FFT</v>
      </c>
      <c r="W117" s="81">
        <f>M8+0.000004</f>
        <v>0.33333733333333332</v>
      </c>
      <c r="X117" s="89" t="str">
        <f t="shared" si="11"/>
        <v/>
      </c>
      <c r="Y117" s="89" t="str">
        <f t="shared" si="11"/>
        <v/>
      </c>
      <c r="Z117" s="82"/>
    </row>
    <row r="118" spans="4:26" x14ac:dyDescent="0.3">
      <c r="D118" s="79">
        <f t="shared" si="5"/>
        <v>2</v>
      </c>
      <c r="E118" s="37" t="str">
        <f t="shared" si="6"/>
        <v>All IHCBS ProvidersIHCBS CombinedFeb-25</v>
      </c>
      <c r="F118" s="80" t="str">
        <f t="shared" si="6"/>
        <v>IHCBS</v>
      </c>
      <c r="G118" s="81">
        <f>G9+0.000012</f>
        <v>1.0909210909090907</v>
      </c>
      <c r="H118" s="89"/>
      <c r="I118" s="89"/>
      <c r="J118" s="82"/>
      <c r="K118" s="8"/>
      <c r="L118" s="79">
        <f t="shared" si="8"/>
        <v>6</v>
      </c>
      <c r="M118" s="37" t="str">
        <f t="shared" si="12"/>
        <v>All IHCBS ProvidersIHCBS CombinedFeb-25</v>
      </c>
      <c r="N118" s="37" t="str">
        <f t="shared" si="13"/>
        <v>IHCBS</v>
      </c>
      <c r="O118" s="81">
        <f>J9+0.000012</f>
        <v>0.68751200000000001</v>
      </c>
      <c r="P118" s="89"/>
      <c r="Q118" s="89"/>
      <c r="R118" s="82"/>
      <c r="T118" s="79">
        <f t="shared" si="10"/>
        <v>1</v>
      </c>
      <c r="U118" s="37" t="str">
        <f t="shared" si="3"/>
        <v>All IHCBS ProvidersIHCBS CombinedFeb-25</v>
      </c>
      <c r="V118" s="37" t="str">
        <f t="shared" si="4"/>
        <v>IHCBS</v>
      </c>
      <c r="W118" s="81">
        <f>M9+0.000013</f>
        <v>1.000013</v>
      </c>
      <c r="X118" s="89"/>
      <c r="Y118" s="89"/>
      <c r="Z118" s="82"/>
    </row>
    <row r="119" spans="4:26" x14ac:dyDescent="0.3">
      <c r="D119" s="79">
        <f t="shared" si="5"/>
        <v>1</v>
      </c>
      <c r="E119" s="37" t="str">
        <f t="shared" si="6"/>
        <v>All MST ProvidersMST CombinedFeb-25</v>
      </c>
      <c r="F119" s="80" t="str">
        <f t="shared" si="6"/>
        <v>MST</v>
      </c>
      <c r="G119" s="81">
        <f>G10+0.000004</f>
        <v>1.2000039999999998</v>
      </c>
      <c r="H119" s="89" t="str">
        <f t="shared" ref="H119:I126" si="14">H10</f>
        <v/>
      </c>
      <c r="I119" s="89" t="str">
        <f t="shared" si="14"/>
        <v/>
      </c>
      <c r="J119" s="82"/>
      <c r="K119" s="8"/>
      <c r="L119" s="79">
        <f t="shared" si="8"/>
        <v>9</v>
      </c>
      <c r="M119" s="37" t="str">
        <f t="shared" si="12"/>
        <v>All MST ProvidersMST CombinedFeb-25</v>
      </c>
      <c r="N119" s="37" t="str">
        <f t="shared" si="13"/>
        <v>MST</v>
      </c>
      <c r="O119" s="81">
        <f>J10+0.000005</f>
        <v>0.25000499999999998</v>
      </c>
      <c r="P119" s="89" t="str">
        <f t="shared" ref="P119:Q126" si="15">K10</f>
        <v/>
      </c>
      <c r="Q119" s="89" t="str">
        <f t="shared" si="15"/>
        <v/>
      </c>
      <c r="R119" s="82"/>
      <c r="T119" s="79">
        <f t="shared" si="10"/>
        <v>10</v>
      </c>
      <c r="U119" s="37" t="str">
        <f t="shared" si="3"/>
        <v>All MST ProvidersMST CombinedFeb-25</v>
      </c>
      <c r="V119" s="37" t="str">
        <f t="shared" si="4"/>
        <v>MST</v>
      </c>
      <c r="W119" s="81">
        <f>M10+0.000005</f>
        <v>5.0000000000000004E-6</v>
      </c>
      <c r="X119" s="89" t="str">
        <f t="shared" ref="X119:Y126" si="16">N10</f>
        <v/>
      </c>
      <c r="Y119" s="89" t="str">
        <f t="shared" si="16"/>
        <v/>
      </c>
      <c r="Z119" s="82"/>
    </row>
    <row r="120" spans="4:26" x14ac:dyDescent="0.3">
      <c r="D120" s="79">
        <f t="shared" si="5"/>
        <v>12</v>
      </c>
      <c r="E120" s="37" t="str">
        <f t="shared" si="6"/>
        <v>All MST-PSB ProvidersMST-PSB CombinedFeb-25</v>
      </c>
      <c r="F120" s="80" t="str">
        <f t="shared" si="6"/>
        <v>*MST-PSB</v>
      </c>
      <c r="G120" s="81">
        <f>G11+0.000005</f>
        <v>5.0000000000000004E-6</v>
      </c>
      <c r="H120" s="89" t="str">
        <f t="shared" si="14"/>
        <v/>
      </c>
      <c r="I120" s="89" t="str">
        <f t="shared" si="14"/>
        <v/>
      </c>
      <c r="J120" s="82"/>
      <c r="K120" s="8"/>
      <c r="L120" s="79">
        <f t="shared" si="8"/>
        <v>11</v>
      </c>
      <c r="M120" s="37" t="str">
        <f t="shared" si="12"/>
        <v>All MST-PSB ProvidersMST-PSB CombinedFeb-25</v>
      </c>
      <c r="N120" s="37" t="str">
        <f t="shared" si="13"/>
        <v>*MST-PSB</v>
      </c>
      <c r="O120" s="81">
        <f>J11+0.000007</f>
        <v>6.9999999999999999E-6</v>
      </c>
      <c r="P120" s="89" t="str">
        <f t="shared" si="15"/>
        <v/>
      </c>
      <c r="Q120" s="89" t="str">
        <f t="shared" si="15"/>
        <v/>
      </c>
      <c r="R120" s="82"/>
      <c r="T120" s="79">
        <f t="shared" si="10"/>
        <v>9</v>
      </c>
      <c r="U120" s="37" t="str">
        <f t="shared" si="3"/>
        <v>All MST-PSB ProvidersMST-PSB CombinedFeb-25</v>
      </c>
      <c r="V120" s="37" t="str">
        <f t="shared" si="4"/>
        <v>*MST-PSB</v>
      </c>
      <c r="W120" s="81">
        <f>M11+0.000006</f>
        <v>6.0000000000000002E-6</v>
      </c>
      <c r="X120" s="89" t="str">
        <f t="shared" si="16"/>
        <v/>
      </c>
      <c r="Y120" s="89" t="str">
        <f t="shared" si="16"/>
        <v/>
      </c>
      <c r="Z120" s="82"/>
    </row>
    <row r="121" spans="4:26" x14ac:dyDescent="0.3">
      <c r="D121" s="79">
        <f t="shared" si="5"/>
        <v>9</v>
      </c>
      <c r="E121" s="37" t="str">
        <f t="shared" si="6"/>
        <v>All PCIT ProvidersPCIT CombinedFeb-25</v>
      </c>
      <c r="F121" s="80" t="str">
        <f t="shared" si="6"/>
        <v>PCIT</v>
      </c>
      <c r="G121" s="81">
        <f>G12+0.000006</f>
        <v>0.20000600000000002</v>
      </c>
      <c r="H121" s="89" t="str">
        <f t="shared" si="14"/>
        <v/>
      </c>
      <c r="I121" s="89" t="str">
        <f t="shared" si="14"/>
        <v/>
      </c>
      <c r="J121" s="82"/>
      <c r="K121" s="8"/>
      <c r="L121" s="79">
        <f t="shared" si="8"/>
        <v>4</v>
      </c>
      <c r="M121" s="37" t="str">
        <f t="shared" si="12"/>
        <v>All PCIT ProvidersPCIT CombinedFeb-25</v>
      </c>
      <c r="N121" s="37" t="str">
        <f t="shared" si="13"/>
        <v>PCIT</v>
      </c>
      <c r="O121" s="81">
        <f>J12+0.000008</f>
        <v>0.8571508571428571</v>
      </c>
      <c r="P121" s="89" t="str">
        <f t="shared" si="15"/>
        <v/>
      </c>
      <c r="Q121" s="89" t="str">
        <f t="shared" si="15"/>
        <v/>
      </c>
      <c r="R121" s="82"/>
      <c r="T121" s="79">
        <f t="shared" si="10"/>
        <v>8</v>
      </c>
      <c r="U121" s="37" t="str">
        <f t="shared" si="3"/>
        <v>All PCIT ProvidersPCIT CombinedFeb-25</v>
      </c>
      <c r="V121" s="37" t="str">
        <f t="shared" si="4"/>
        <v>PCIT</v>
      </c>
      <c r="W121" s="81">
        <f>M12+0.000007</f>
        <v>6.9999999999999999E-6</v>
      </c>
      <c r="X121" s="89" t="str">
        <f t="shared" si="16"/>
        <v/>
      </c>
      <c r="Y121" s="89" t="str">
        <f t="shared" si="16"/>
        <v/>
      </c>
      <c r="Z121" s="82"/>
    </row>
    <row r="122" spans="4:26" x14ac:dyDescent="0.3">
      <c r="D122" s="79">
        <f t="shared" si="5"/>
        <v>6</v>
      </c>
      <c r="E122" s="37" t="str">
        <f t="shared" si="6"/>
        <v>All PCIT-T ProvidersPCIT-T CombinedFeb-25</v>
      </c>
      <c r="F122" s="80" t="str">
        <f t="shared" si="6"/>
        <v>PCIT-T</v>
      </c>
      <c r="G122" s="81">
        <f>G13+0.000007</f>
        <v>0.53846853846153842</v>
      </c>
      <c r="H122" s="89" t="str">
        <f t="shared" si="14"/>
        <v/>
      </c>
      <c r="I122" s="89" t="str">
        <f t="shared" si="14"/>
        <v/>
      </c>
      <c r="J122" s="82"/>
      <c r="K122" s="8"/>
      <c r="L122" s="79">
        <f t="shared" si="8"/>
        <v>5</v>
      </c>
      <c r="M122" s="37" t="str">
        <f t="shared" si="12"/>
        <v>All PCIT-T ProvidersPCIT-T CombinedFeb-25</v>
      </c>
      <c r="N122" s="37" t="str">
        <f t="shared" si="13"/>
        <v>PCIT-T</v>
      </c>
      <c r="O122" s="81">
        <f>J13+0.000009</f>
        <v>0.71429471428571434</v>
      </c>
      <c r="P122" s="89" t="str">
        <f t="shared" si="15"/>
        <v/>
      </c>
      <c r="Q122" s="89" t="str">
        <f t="shared" si="15"/>
        <v/>
      </c>
      <c r="R122" s="82"/>
      <c r="T122" s="79">
        <f t="shared" si="10"/>
        <v>7</v>
      </c>
      <c r="U122" s="37" t="str">
        <f t="shared" si="3"/>
        <v>All PCIT-T ProvidersPCIT-T CombinedFeb-25</v>
      </c>
      <c r="V122" s="37" t="str">
        <f t="shared" si="4"/>
        <v>PCIT-T</v>
      </c>
      <c r="W122" s="81">
        <f>M13+0.000008</f>
        <v>7.9999999999999996E-6</v>
      </c>
      <c r="X122" s="89" t="str">
        <f t="shared" si="16"/>
        <v/>
      </c>
      <c r="Y122" s="89" t="str">
        <f t="shared" si="16"/>
        <v/>
      </c>
      <c r="Z122" s="82"/>
    </row>
    <row r="123" spans="4:26" x14ac:dyDescent="0.3">
      <c r="D123" s="79">
        <f t="shared" si="5"/>
        <v>11</v>
      </c>
      <c r="E123" s="37" t="str">
        <f t="shared" si="6"/>
        <v>All SFCR ProvidersSFCR CombinedFeb-25</v>
      </c>
      <c r="F123" s="80" t="str">
        <f t="shared" si="6"/>
        <v>SFCR</v>
      </c>
      <c r="G123" s="81">
        <f>G14+0.000008</f>
        <v>7.9999999999999996E-6</v>
      </c>
      <c r="H123" s="89" t="str">
        <f t="shared" si="14"/>
        <v/>
      </c>
      <c r="I123" s="89" t="str">
        <f t="shared" si="14"/>
        <v/>
      </c>
      <c r="J123" s="82"/>
      <c r="K123" s="8"/>
      <c r="L123" s="79">
        <f t="shared" si="8"/>
        <v>10</v>
      </c>
      <c r="M123" s="37" t="str">
        <f t="shared" si="12"/>
        <v>All SFCR ProvidersSFCR CombinedFeb-25</v>
      </c>
      <c r="N123" s="37" t="str">
        <f t="shared" si="13"/>
        <v>SFCR</v>
      </c>
      <c r="O123" s="81">
        <f>J14+0.00001</f>
        <v>1.0000000000000001E-5</v>
      </c>
      <c r="P123" s="89" t="str">
        <f t="shared" si="15"/>
        <v/>
      </c>
      <c r="Q123" s="89" t="str">
        <f t="shared" si="15"/>
        <v/>
      </c>
      <c r="R123" s="82"/>
      <c r="T123" s="79">
        <f t="shared" si="10"/>
        <v>6</v>
      </c>
      <c r="U123" s="37" t="str">
        <f t="shared" si="3"/>
        <v>All SFCR ProvidersSFCR CombinedFeb-25</v>
      </c>
      <c r="V123" s="37" t="str">
        <f t="shared" si="4"/>
        <v>SFCR</v>
      </c>
      <c r="W123" s="81">
        <f>M14+0.000009</f>
        <v>9.0000000000000002E-6</v>
      </c>
      <c r="X123" s="89" t="str">
        <f t="shared" si="16"/>
        <v/>
      </c>
      <c r="Y123" s="89" t="str">
        <f t="shared" si="16"/>
        <v/>
      </c>
      <c r="Z123" s="82"/>
    </row>
    <row r="124" spans="4:26" x14ac:dyDescent="0.3">
      <c r="D124" s="79">
        <f t="shared" si="5"/>
        <v>7</v>
      </c>
      <c r="E124" s="37" t="str">
        <f t="shared" si="6"/>
        <v>All TF-CBT ProvidersTF-CBT CombinedFeb-25</v>
      </c>
      <c r="F124" s="80" t="str">
        <f t="shared" si="6"/>
        <v>TF-CBT</v>
      </c>
      <c r="G124" s="81">
        <f>G15+0.000009</f>
        <v>0.53489272093023255</v>
      </c>
      <c r="H124" s="89" t="str">
        <f t="shared" si="14"/>
        <v/>
      </c>
      <c r="I124" s="89" t="str">
        <f t="shared" si="14"/>
        <v/>
      </c>
      <c r="J124" s="82"/>
      <c r="K124" s="8"/>
      <c r="L124" s="79">
        <f t="shared" si="8"/>
        <v>8</v>
      </c>
      <c r="M124" s="37" t="str">
        <f t="shared" si="12"/>
        <v>All TF-CBT ProvidersTF-CBT CombinedFeb-25</v>
      </c>
      <c r="N124" s="37" t="str">
        <f t="shared" si="13"/>
        <v>TF-CBT</v>
      </c>
      <c r="O124" s="81">
        <f>J15+0.000011</f>
        <v>0.57693407692307686</v>
      </c>
      <c r="P124" s="89" t="str">
        <f t="shared" si="15"/>
        <v/>
      </c>
      <c r="Q124" s="89" t="str">
        <f t="shared" si="15"/>
        <v/>
      </c>
      <c r="R124" s="82"/>
      <c r="T124" s="79">
        <f t="shared" si="10"/>
        <v>3</v>
      </c>
      <c r="U124" s="37" t="str">
        <f t="shared" si="3"/>
        <v>All TF-CBT ProvidersTF-CBT CombinedFeb-25</v>
      </c>
      <c r="V124" s="37" t="str">
        <f t="shared" si="4"/>
        <v>TF-CBT</v>
      </c>
      <c r="W124" s="81">
        <f>M15+0.00001</f>
        <v>0.75000999999999995</v>
      </c>
      <c r="X124" s="89" t="str">
        <f t="shared" si="16"/>
        <v/>
      </c>
      <c r="Y124" s="89" t="str">
        <f t="shared" si="16"/>
        <v/>
      </c>
      <c r="Z124" s="82"/>
    </row>
    <row r="125" spans="4:26" x14ac:dyDescent="0.3">
      <c r="D125" s="79">
        <f t="shared" si="5"/>
        <v>4</v>
      </c>
      <c r="E125" s="37" t="str">
        <f t="shared" si="6"/>
        <v>All TIP ProvidersTIP CombinedFeb-25</v>
      </c>
      <c r="F125" s="80" t="str">
        <f t="shared" si="6"/>
        <v>TIP</v>
      </c>
      <c r="G125" s="81">
        <f>G16+0.00001</f>
        <v>0.66667666666666658</v>
      </c>
      <c r="H125" s="89" t="str">
        <f t="shared" si="14"/>
        <v/>
      </c>
      <c r="I125" s="89" t="str">
        <f t="shared" si="14"/>
        <v/>
      </c>
      <c r="J125" s="82"/>
      <c r="K125" s="8"/>
      <c r="L125" s="79">
        <f t="shared" si="8"/>
        <v>3</v>
      </c>
      <c r="M125" s="37" t="str">
        <f t="shared" si="12"/>
        <v>All TIP ProvidersTIP CombinedFeb-25</v>
      </c>
      <c r="N125" s="37" t="str">
        <f t="shared" si="13"/>
        <v>TIP</v>
      </c>
      <c r="O125" s="81">
        <f>J16+0.000012</f>
        <v>0.85966112280701756</v>
      </c>
      <c r="P125" s="89" t="str">
        <f t="shared" si="15"/>
        <v/>
      </c>
      <c r="Q125" s="89" t="str">
        <f t="shared" si="15"/>
        <v/>
      </c>
      <c r="R125" s="82"/>
      <c r="T125" s="79">
        <f t="shared" si="10"/>
        <v>4</v>
      </c>
      <c r="U125" s="37" t="str">
        <f t="shared" si="3"/>
        <v>All TIP ProvidersTIP CombinedFeb-25</v>
      </c>
      <c r="V125" s="37" t="str">
        <f t="shared" si="4"/>
        <v>TIP</v>
      </c>
      <c r="W125" s="81">
        <f>M16+0.000011</f>
        <v>0.4444554444444444</v>
      </c>
      <c r="X125" s="89" t="str">
        <f t="shared" si="16"/>
        <v/>
      </c>
      <c r="Y125" s="89" t="str">
        <f t="shared" si="16"/>
        <v/>
      </c>
      <c r="Z125" s="82"/>
    </row>
    <row r="126" spans="4:26" ht="15" thickBot="1" x14ac:dyDescent="0.35">
      <c r="D126" s="83">
        <f>RANK(G126,G$114:G$126,0)</f>
        <v>5</v>
      </c>
      <c r="E126" s="84" t="str">
        <f t="shared" si="6"/>
        <v>All TST ProvidersTST CombinedFeb-25</v>
      </c>
      <c r="F126" s="97" t="str">
        <f t="shared" si="6"/>
        <v>TST</v>
      </c>
      <c r="G126" s="85">
        <f>G17+0.000011</f>
        <v>0.65001100000000001</v>
      </c>
      <c r="H126" s="91" t="str">
        <f t="shared" si="14"/>
        <v/>
      </c>
      <c r="I126" s="91" t="str">
        <f t="shared" si="14"/>
        <v/>
      </c>
      <c r="J126" s="86"/>
      <c r="K126" s="8"/>
      <c r="L126" s="83">
        <f t="shared" si="8"/>
        <v>1</v>
      </c>
      <c r="M126" s="84" t="str">
        <f>E126</f>
        <v>All TST ProvidersTST CombinedFeb-25</v>
      </c>
      <c r="N126" s="97" t="str">
        <f>F126</f>
        <v>TST</v>
      </c>
      <c r="O126" s="85">
        <f>J17+0.00013</f>
        <v>1.4001299999999999</v>
      </c>
      <c r="P126" s="91" t="str">
        <f t="shared" si="15"/>
        <v/>
      </c>
      <c r="Q126" s="91" t="str">
        <f t="shared" si="15"/>
        <v/>
      </c>
      <c r="R126" s="86"/>
      <c r="T126" s="83">
        <f t="shared" si="10"/>
        <v>2</v>
      </c>
      <c r="U126" s="84" t="str">
        <f t="shared" si="3"/>
        <v>All TST ProvidersTST CombinedFeb-25</v>
      </c>
      <c r="V126" s="84" t="str">
        <f t="shared" si="4"/>
        <v>TST</v>
      </c>
      <c r="W126" s="85">
        <f>M17+0.000012</f>
        <v>1.0000119999999999</v>
      </c>
      <c r="X126" s="91" t="str">
        <f t="shared" si="16"/>
        <v/>
      </c>
      <c r="Y126" s="91" t="str">
        <f t="shared" si="16"/>
        <v/>
      </c>
      <c r="Z126" s="86"/>
    </row>
    <row r="127" spans="4:26" x14ac:dyDescent="0.3">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x14ac:dyDescent="0.3">
      <c r="D128" s="79" t="s">
        <v>21</v>
      </c>
      <c r="E128" s="37" t="str">
        <f>E113</f>
        <v>AllAll CombinedFeb-25</v>
      </c>
      <c r="F128" s="37" t="str">
        <f>F113</f>
        <v>All</v>
      </c>
      <c r="G128" s="80">
        <f>G113</f>
        <v>0.6716738197424893</v>
      </c>
      <c r="H128" s="90" t="str">
        <f>H113</f>
        <v/>
      </c>
      <c r="I128" s="90" t="str">
        <f>I113</f>
        <v/>
      </c>
      <c r="J128" s="82"/>
      <c r="K128" s="8"/>
      <c r="L128" s="79" t="s">
        <v>19</v>
      </c>
      <c r="M128" s="37" t="str">
        <f>M113</f>
        <v>AllAll CombinedFeb-25</v>
      </c>
      <c r="N128" s="37" t="str">
        <f>N113</f>
        <v>All</v>
      </c>
      <c r="O128" s="80">
        <f>O113</f>
        <v>0.74404761904761907</v>
      </c>
      <c r="P128" s="90" t="str">
        <f>P113</f>
        <v/>
      </c>
      <c r="Q128" s="90" t="str">
        <f>Q113</f>
        <v/>
      </c>
      <c r="R128" s="82"/>
      <c r="T128" s="79" t="s">
        <v>22</v>
      </c>
      <c r="U128" s="37" t="str">
        <f>U113</f>
        <v>AllAll CombinedFeb-25</v>
      </c>
      <c r="V128" s="37" t="str">
        <f>V113</f>
        <v>All</v>
      </c>
      <c r="W128" s="80">
        <f>W113</f>
        <v>0.54166666666666663</v>
      </c>
      <c r="X128" s="90" t="str">
        <f>X113</f>
        <v/>
      </c>
      <c r="Y128" s="90" t="str">
        <f>Y113</f>
        <v/>
      </c>
      <c r="Z128" s="82"/>
    </row>
    <row r="129" spans="1:26" x14ac:dyDescent="0.3">
      <c r="D129" s="79">
        <v>1</v>
      </c>
      <c r="E129" s="37" t="str">
        <f t="shared" ref="E129:E139" si="17">VLOOKUP($D129,D$114:G$126,2,FALSE)</f>
        <v>All MST ProvidersMST CombinedFeb-25</v>
      </c>
      <c r="F129" s="37" t="str">
        <f>VLOOKUP($D129,$D$114:G$126,3,FALSE)</f>
        <v>MST</v>
      </c>
      <c r="G129" s="81">
        <f>VLOOKUP($D129,$D$114:J$126,4,FALSE)</f>
        <v>1.2000039999999998</v>
      </c>
      <c r="H129" s="89" t="str">
        <f>VLOOKUP($D129,$D$114:J$126,5,FALSE)</f>
        <v/>
      </c>
      <c r="I129" s="89" t="str">
        <f>VLOOKUP($D129,$D$114:J$126,6,FALSE)</f>
        <v/>
      </c>
      <c r="J129" s="82"/>
      <c r="K129" s="8"/>
      <c r="L129" s="79">
        <v>1</v>
      </c>
      <c r="M129" s="37" t="str">
        <f t="shared" ref="M129:M139" si="18">VLOOKUP($L129,L$114:M$126,2,FALSE)</f>
        <v>All TST ProvidersTST CombinedFeb-25</v>
      </c>
      <c r="N129" s="37" t="str">
        <f>VLOOKUP($L129,$L$114:N$126,3,FALSE)</f>
        <v>TST</v>
      </c>
      <c r="O129" s="81">
        <f>VLOOKUP($L129,$L$114:R$126,4,FALSE)</f>
        <v>1.4001299999999999</v>
      </c>
      <c r="P129" s="89" t="str">
        <f>VLOOKUP($L129,$L$114:P$126,5,FALSE)</f>
        <v/>
      </c>
      <c r="Q129" s="89" t="str">
        <f>VLOOKUP($L129,$L$114:Q$126,6,FALSE)</f>
        <v/>
      </c>
      <c r="R129" s="82"/>
      <c r="T129" s="79">
        <v>1</v>
      </c>
      <c r="U129" s="37" t="str">
        <f t="shared" ref="U129:U139" si="19">VLOOKUP($T129,T$114:W$126,2,FALSE)</f>
        <v>All IHCBS ProvidersIHCBS CombinedFeb-25</v>
      </c>
      <c r="V129" s="37" t="str">
        <f>VLOOKUP($L129,$T$114:W$126,3,FALSE)</f>
        <v>IHCBS</v>
      </c>
      <c r="W129" s="81">
        <f>VLOOKUP($T129,$T$114:W$126,4,FALSE)</f>
        <v>1.000013</v>
      </c>
      <c r="X129" s="89">
        <f>VLOOKUP($T129,$T$114:X$126,5,FALSE)</f>
        <v>0</v>
      </c>
      <c r="Y129" s="89">
        <f>VLOOKUP($T129,$T$114:Y$126,6,FALSE)</f>
        <v>0</v>
      </c>
      <c r="Z129" s="82"/>
    </row>
    <row r="130" spans="1:26" x14ac:dyDescent="0.3">
      <c r="D130" s="79">
        <v>2</v>
      </c>
      <c r="E130" s="37" t="str">
        <f t="shared" si="17"/>
        <v>All IHCBS ProvidersIHCBS CombinedFeb-25</v>
      </c>
      <c r="F130" s="37" t="str">
        <f>VLOOKUP($D130,$D$114:G$126,3,FALSE)</f>
        <v>IHCBS</v>
      </c>
      <c r="G130" s="81">
        <f>VLOOKUP($D130,$D$114:J$126,4,FALSE)</f>
        <v>1.0909210909090907</v>
      </c>
      <c r="H130" s="89">
        <f>VLOOKUP($D130,$D$114:J$126,5,FALSE)</f>
        <v>0</v>
      </c>
      <c r="I130" s="89">
        <f>VLOOKUP($D130,$D$114:J$126,6,FALSE)</f>
        <v>0</v>
      </c>
      <c r="J130" s="82"/>
      <c r="K130" s="8"/>
      <c r="L130" s="79">
        <v>2</v>
      </c>
      <c r="M130" s="37" t="str">
        <f t="shared" si="18"/>
        <v>All CPP-FV ProvidersCPP-FV CombinedFeb-25</v>
      </c>
      <c r="N130" s="37" t="str">
        <f>VLOOKUP($L130,$L$114:N$126,3,FALSE)</f>
        <v>CPP-FV</v>
      </c>
      <c r="O130" s="81">
        <f>VLOOKUP($L130,$L$114:R$126,4,FALSE)</f>
        <v>0.900003</v>
      </c>
      <c r="P130" s="89" t="str">
        <f>VLOOKUP($L130,$L$114:P$126,5,FALSE)</f>
        <v/>
      </c>
      <c r="Q130" s="89" t="str">
        <f>VLOOKUP($L130,$L$114:Q$126,6,FALSE)</f>
        <v/>
      </c>
      <c r="R130" s="82"/>
      <c r="T130" s="79">
        <v>2</v>
      </c>
      <c r="U130" s="37" t="str">
        <f t="shared" si="19"/>
        <v>All TST ProvidersTST CombinedFeb-25</v>
      </c>
      <c r="V130" s="37" t="str">
        <f>VLOOKUP($L130,$T$114:W$126,3,FALSE)</f>
        <v>TST</v>
      </c>
      <c r="W130" s="81">
        <f>VLOOKUP($T130,$T$114:W$126,4,FALSE)</f>
        <v>1.0000119999999999</v>
      </c>
      <c r="X130" s="89" t="str">
        <f>VLOOKUP($T130,$T$114:X$126,5,FALSE)</f>
        <v/>
      </c>
      <c r="Y130" s="89" t="str">
        <f>VLOOKUP($T130,$T$114:Y$126,6,FALSE)</f>
        <v/>
      </c>
      <c r="Z130" s="82"/>
    </row>
    <row r="131" spans="1:26" x14ac:dyDescent="0.3">
      <c r="D131" s="79">
        <v>3</v>
      </c>
      <c r="E131" s="37" t="str">
        <f t="shared" si="17"/>
        <v>All FFT ProvidersFFT CombinedFeb-25</v>
      </c>
      <c r="F131" s="37" t="str">
        <f>VLOOKUP($D131,$D$114:G$126,3,FALSE)</f>
        <v>FFT</v>
      </c>
      <c r="G131" s="81">
        <f>VLOOKUP($D131,$D$114:J$126,4,FALSE)</f>
        <v>0.72414093103448274</v>
      </c>
      <c r="H131" s="89" t="str">
        <f>VLOOKUP($D131,$D$114:J$126,5,FALSE)</f>
        <v/>
      </c>
      <c r="I131" s="89" t="str">
        <f>VLOOKUP($D131,$D$114:J$126,6,FALSE)</f>
        <v/>
      </c>
      <c r="J131" s="82"/>
      <c r="K131" s="8"/>
      <c r="L131" s="79">
        <v>3</v>
      </c>
      <c r="M131" s="37" t="str">
        <f t="shared" si="18"/>
        <v>All TIP ProvidersTIP CombinedFeb-25</v>
      </c>
      <c r="N131" s="37" t="str">
        <f>VLOOKUP($L131,$L$114:N$126,3,FALSE)</f>
        <v>TIP</v>
      </c>
      <c r="O131" s="81">
        <f>VLOOKUP($L131,$L$114:R$126,4,FALSE)</f>
        <v>0.85966112280701756</v>
      </c>
      <c r="P131" s="89" t="str">
        <f>VLOOKUP($L131,$L$114:P$126,5,FALSE)</f>
        <v/>
      </c>
      <c r="Q131" s="89" t="str">
        <f>VLOOKUP($L131,$L$114:Q$126,6,FALSE)</f>
        <v/>
      </c>
      <c r="R131" s="82"/>
      <c r="T131" s="79">
        <v>3</v>
      </c>
      <c r="U131" s="37" t="str">
        <f t="shared" si="19"/>
        <v>All TF-CBT ProvidersTF-CBT CombinedFeb-25</v>
      </c>
      <c r="V131" s="37" t="str">
        <f>VLOOKUP($L131,$T$114:W$126,3,FALSE)</f>
        <v>TF-CBT</v>
      </c>
      <c r="W131" s="81">
        <f>VLOOKUP($T131,$T$114:W$126,4,FALSE)</f>
        <v>0.75000999999999995</v>
      </c>
      <c r="X131" s="89" t="str">
        <f>VLOOKUP($T131,$T$114:X$126,5,FALSE)</f>
        <v/>
      </c>
      <c r="Y131" s="89" t="str">
        <f>VLOOKUP($T131,$T$114:Y$126,6,FALSE)</f>
        <v/>
      </c>
      <c r="Z131" s="82"/>
    </row>
    <row r="132" spans="1:26" x14ac:dyDescent="0.3">
      <c r="D132" s="79">
        <v>4</v>
      </c>
      <c r="E132" s="37" t="str">
        <f t="shared" si="17"/>
        <v>All TIP ProvidersTIP CombinedFeb-25</v>
      </c>
      <c r="F132" s="37" t="str">
        <f>VLOOKUP($D132,$D$114:G$126,3,FALSE)</f>
        <v>TIP</v>
      </c>
      <c r="G132" s="81">
        <f>VLOOKUP($D132,$D$114:J$126,4,FALSE)</f>
        <v>0.66667666666666658</v>
      </c>
      <c r="H132" s="89" t="str">
        <f>VLOOKUP($D132,$D$114:J$126,5,FALSE)</f>
        <v/>
      </c>
      <c r="I132" s="89" t="str">
        <f>VLOOKUP($D132,$D$114:J$126,6,FALSE)</f>
        <v/>
      </c>
      <c r="J132" s="82"/>
      <c r="K132" s="8"/>
      <c r="L132" s="79">
        <v>4</v>
      </c>
      <c r="M132" s="37" t="str">
        <f t="shared" si="18"/>
        <v>All PCIT ProvidersPCIT CombinedFeb-25</v>
      </c>
      <c r="N132" s="37" t="str">
        <f>VLOOKUP($L132,$L$114:N$126,3,FALSE)</f>
        <v>PCIT</v>
      </c>
      <c r="O132" s="81">
        <f>VLOOKUP($L132,$L$114:R$126,4,FALSE)</f>
        <v>0.8571508571428571</v>
      </c>
      <c r="P132" s="89" t="str">
        <f>VLOOKUP($L132,$L$114:P$126,5,FALSE)</f>
        <v/>
      </c>
      <c r="Q132" s="89" t="str">
        <f>VLOOKUP($L132,$L$114:Q$126,6,FALSE)</f>
        <v/>
      </c>
      <c r="R132" s="82"/>
      <c r="T132" s="79">
        <v>4</v>
      </c>
      <c r="U132" s="37" t="str">
        <f t="shared" si="19"/>
        <v>All TIP ProvidersTIP CombinedFeb-25</v>
      </c>
      <c r="V132" s="37" t="str">
        <f>VLOOKUP($L132,$T$114:W$126,3,FALSE)</f>
        <v>TIP</v>
      </c>
      <c r="W132" s="81">
        <f>VLOOKUP($T132,$T$114:W$126,4,FALSE)</f>
        <v>0.4444554444444444</v>
      </c>
      <c r="X132" s="89" t="str">
        <f>VLOOKUP($T132,$T$114:X$126,5,FALSE)</f>
        <v/>
      </c>
      <c r="Y132" s="89" t="str">
        <f>VLOOKUP($T132,$T$114:Y$126,6,FALSE)</f>
        <v/>
      </c>
      <c r="Z132" s="82"/>
    </row>
    <row r="133" spans="1:26" x14ac:dyDescent="0.3">
      <c r="D133" s="79">
        <v>5</v>
      </c>
      <c r="E133" s="37" t="str">
        <f t="shared" si="17"/>
        <v>All TST ProvidersTST CombinedFeb-25</v>
      </c>
      <c r="F133" s="37" t="str">
        <f>VLOOKUP($D133,$D$114:G$126,3,FALSE)</f>
        <v>TST</v>
      </c>
      <c r="G133" s="81">
        <f>VLOOKUP($D133,$D$114:J$126,4,FALSE)</f>
        <v>0.65001100000000001</v>
      </c>
      <c r="H133" s="89" t="str">
        <f>VLOOKUP($D133,$D$114:J$126,5,FALSE)</f>
        <v/>
      </c>
      <c r="I133" s="89" t="str">
        <f>VLOOKUP($D133,$D$114:J$126,6,FALSE)</f>
        <v/>
      </c>
      <c r="J133" s="82"/>
      <c r="K133" s="8"/>
      <c r="L133" s="79">
        <v>5</v>
      </c>
      <c r="M133" s="37" t="str">
        <f t="shared" si="18"/>
        <v>All PCIT-T ProvidersPCIT-T CombinedFeb-25</v>
      </c>
      <c r="N133" s="37" t="str">
        <f>VLOOKUP($L133,$L$114:N$126,3,FALSE)</f>
        <v>PCIT-T</v>
      </c>
      <c r="O133" s="81">
        <f>VLOOKUP($L133,$L$114:R$126,4,FALSE)</f>
        <v>0.71429471428571434</v>
      </c>
      <c r="P133" s="89" t="str">
        <f>VLOOKUP($L133,$L$114:P$126,5,FALSE)</f>
        <v/>
      </c>
      <c r="Q133" s="89" t="str">
        <f>VLOOKUP($L133,$L$114:Q$126,6,FALSE)</f>
        <v/>
      </c>
      <c r="R133" s="82"/>
      <c r="T133" s="79">
        <v>5</v>
      </c>
      <c r="U133" s="37" t="str">
        <f t="shared" si="19"/>
        <v>All FFT ProvidersFFT CombinedFeb-25</v>
      </c>
      <c r="V133" s="37" t="str">
        <f>VLOOKUP($L133,$T$114:W$126,3,FALSE)</f>
        <v>FFT</v>
      </c>
      <c r="W133" s="81">
        <f>VLOOKUP($T133,$T$114:W$126,4,FALSE)</f>
        <v>0.33333733333333332</v>
      </c>
      <c r="X133" s="89" t="str">
        <f>VLOOKUP($T133,$T$114:X$126,5,FALSE)</f>
        <v/>
      </c>
      <c r="Y133" s="89" t="str">
        <f>VLOOKUP($T133,$T$114:Y$126,6,FALSE)</f>
        <v/>
      </c>
      <c r="Z133" s="82"/>
    </row>
    <row r="134" spans="1:26" x14ac:dyDescent="0.3">
      <c r="D134" s="79">
        <v>6</v>
      </c>
      <c r="E134" s="37" t="str">
        <f t="shared" si="17"/>
        <v>All PCIT-T ProvidersPCIT-T CombinedFeb-25</v>
      </c>
      <c r="F134" s="37" t="str">
        <f>VLOOKUP($D134,$D$114:G$126,3,FALSE)</f>
        <v>PCIT-T</v>
      </c>
      <c r="G134" s="81">
        <f>VLOOKUP($D134,$D$114:J$126,4,FALSE)</f>
        <v>0.53846853846153842</v>
      </c>
      <c r="H134" s="89" t="str">
        <f>VLOOKUP($D134,$D$114:J$126,5,FALSE)</f>
        <v/>
      </c>
      <c r="I134" s="89" t="str">
        <f>VLOOKUP($D134,$D$114:J$126,6,FALSE)</f>
        <v/>
      </c>
      <c r="J134" s="82"/>
      <c r="K134" s="8"/>
      <c r="L134" s="79">
        <v>6</v>
      </c>
      <c r="M134" s="37" t="str">
        <f t="shared" si="18"/>
        <v>All IHCBS ProvidersIHCBS CombinedFeb-25</v>
      </c>
      <c r="N134" s="37" t="str">
        <f>VLOOKUP($L134,$L$114:N$126,3,FALSE)</f>
        <v>IHCBS</v>
      </c>
      <c r="O134" s="81">
        <f>VLOOKUP($L134,$L$114:R$126,4,FALSE)</f>
        <v>0.68751200000000001</v>
      </c>
      <c r="P134" s="89">
        <f>VLOOKUP($L134,$L$114:P$126,5,FALSE)</f>
        <v>0</v>
      </c>
      <c r="Q134" s="89">
        <f>VLOOKUP($L134,$L$114:Q$126,6,FALSE)</f>
        <v>0</v>
      </c>
      <c r="R134" s="82"/>
      <c r="T134" s="79">
        <v>6</v>
      </c>
      <c r="U134" s="37" t="str">
        <f t="shared" si="19"/>
        <v>All SFCR ProvidersSFCR CombinedFeb-25</v>
      </c>
      <c r="V134" s="37" t="str">
        <f>VLOOKUP($L134,$T$114:W$126,3,FALSE)</f>
        <v>SFCR</v>
      </c>
      <c r="W134" s="81">
        <f>VLOOKUP($T134,$T$114:W$126,4,FALSE)</f>
        <v>9.0000000000000002E-6</v>
      </c>
      <c r="X134" s="89" t="str">
        <f>VLOOKUP($T134,$T$114:X$126,5,FALSE)</f>
        <v/>
      </c>
      <c r="Y134" s="89" t="str">
        <f>VLOOKUP($T134,$T$114:Y$126,6,FALSE)</f>
        <v/>
      </c>
      <c r="Z134" s="82"/>
    </row>
    <row r="135" spans="1:26" x14ac:dyDescent="0.3">
      <c r="D135" s="79">
        <v>7</v>
      </c>
      <c r="E135" s="37" t="str">
        <f t="shared" si="17"/>
        <v>All TF-CBT ProvidersTF-CBT CombinedFeb-25</v>
      </c>
      <c r="F135" s="37" t="str">
        <f>VLOOKUP($D135,$D$114:G$126,3,FALSE)</f>
        <v>TF-CBT</v>
      </c>
      <c r="G135" s="81">
        <f>VLOOKUP($D135,$D$114:J$126,4,FALSE)</f>
        <v>0.53489272093023255</v>
      </c>
      <c r="H135" s="89" t="str">
        <f>VLOOKUP($D135,$D$114:J$126,5,FALSE)</f>
        <v/>
      </c>
      <c r="I135" s="89" t="str">
        <f>VLOOKUP($D135,$D$114:J$126,6,FALSE)</f>
        <v/>
      </c>
      <c r="J135" s="82"/>
      <c r="K135" s="8"/>
      <c r="L135" s="79">
        <v>7</v>
      </c>
      <c r="M135" s="37" t="str">
        <f t="shared" si="18"/>
        <v>All FFT ProvidersFFT CombinedFeb-25</v>
      </c>
      <c r="N135" s="37" t="str">
        <f>VLOOKUP($L135,$L$114:N$126,3,FALSE)</f>
        <v>FFT</v>
      </c>
      <c r="O135" s="81">
        <f>VLOOKUP($L135,$L$114:R$126,4,FALSE)</f>
        <v>0.625004</v>
      </c>
      <c r="P135" s="89" t="str">
        <f>VLOOKUP($L135,$L$114:P$126,5,FALSE)</f>
        <v/>
      </c>
      <c r="Q135" s="89" t="str">
        <f>VLOOKUP($L135,$L$114:Q$126,6,FALSE)</f>
        <v/>
      </c>
      <c r="R135" s="82"/>
      <c r="T135" s="79">
        <v>7</v>
      </c>
      <c r="U135" s="37" t="str">
        <f t="shared" si="19"/>
        <v>All PCIT-T ProvidersPCIT-T CombinedFeb-25</v>
      </c>
      <c r="V135" s="37" t="str">
        <f>VLOOKUP($L135,$T$114:W$126,3,FALSE)</f>
        <v>PCIT-T</v>
      </c>
      <c r="W135" s="81">
        <f>VLOOKUP($T135,$T$114:W$126,4,FALSE)</f>
        <v>7.9999999999999996E-6</v>
      </c>
      <c r="X135" s="89" t="str">
        <f>VLOOKUP($T135,$T$114:X$126,5,FALSE)</f>
        <v/>
      </c>
      <c r="Y135" s="89" t="str">
        <f>VLOOKUP($T135,$T$114:Y$126,6,FALSE)</f>
        <v/>
      </c>
      <c r="Z135" s="82"/>
    </row>
    <row r="136" spans="1:26" x14ac:dyDescent="0.3">
      <c r="D136" s="79">
        <v>8</v>
      </c>
      <c r="E136" s="37" t="str">
        <f t="shared" si="17"/>
        <v>All CPP-FV ProvidersCPP-FV CombinedFeb-25</v>
      </c>
      <c r="F136" s="37" t="str">
        <f>VLOOKUP($D136,$D$114:G$126,3,FALSE)</f>
        <v>CPP-FV</v>
      </c>
      <c r="G136" s="81">
        <f>VLOOKUP($D136,$D$114:J$126,4,FALSE)</f>
        <v>0.41666866666666669</v>
      </c>
      <c r="H136" s="89" t="str">
        <f>VLOOKUP($D136,$D$114:J$126,5,FALSE)</f>
        <v/>
      </c>
      <c r="I136" s="89" t="str">
        <f>VLOOKUP($D136,$D$114:J$126,6,FALSE)</f>
        <v/>
      </c>
      <c r="J136" s="82"/>
      <c r="K136" s="8"/>
      <c r="L136" s="79">
        <v>8</v>
      </c>
      <c r="M136" s="37" t="str">
        <f t="shared" si="18"/>
        <v>All TF-CBT ProvidersTF-CBT CombinedFeb-25</v>
      </c>
      <c r="N136" s="37" t="str">
        <f>VLOOKUP($L136,$L$114:N$126,3,FALSE)</f>
        <v>TF-CBT</v>
      </c>
      <c r="O136" s="81">
        <f>VLOOKUP($L136,$L$114:R$126,4,FALSE)</f>
        <v>0.57693407692307686</v>
      </c>
      <c r="P136" s="89" t="str">
        <f>VLOOKUP($L136,$L$114:P$126,5,FALSE)</f>
        <v/>
      </c>
      <c r="Q136" s="89" t="str">
        <f>VLOOKUP($L136,$L$114:Q$126,6,FALSE)</f>
        <v/>
      </c>
      <c r="R136" s="82"/>
      <c r="T136" s="79">
        <v>8</v>
      </c>
      <c r="U136" s="37" t="str">
        <f t="shared" si="19"/>
        <v>All PCIT ProvidersPCIT CombinedFeb-25</v>
      </c>
      <c r="V136" s="37" t="str">
        <f>VLOOKUP($L136,$T$114:W$126,3,FALSE)</f>
        <v>PCIT</v>
      </c>
      <c r="W136" s="81">
        <f>VLOOKUP($T136,$T$114:W$126,4,FALSE)</f>
        <v>6.9999999999999999E-6</v>
      </c>
      <c r="X136" s="89" t="str">
        <f>VLOOKUP($T136,$T$114:X$126,5,FALSE)</f>
        <v/>
      </c>
      <c r="Y136" s="89" t="str">
        <f>VLOOKUP($T136,$T$114:Y$126,6,FALSE)</f>
        <v/>
      </c>
      <c r="Z136" s="82"/>
    </row>
    <row r="137" spans="1:26" x14ac:dyDescent="0.3">
      <c r="D137" s="79">
        <v>9</v>
      </c>
      <c r="E137" s="37" t="str">
        <f t="shared" si="17"/>
        <v>All PCIT ProvidersPCIT CombinedFeb-25</v>
      </c>
      <c r="F137" s="37" t="str">
        <f>VLOOKUP($D137,$D$114:G$126,3,FALSE)</f>
        <v>PCIT</v>
      </c>
      <c r="G137" s="81">
        <f>VLOOKUP($D137,$D$114:J$126,4,FALSE)</f>
        <v>0.20000600000000002</v>
      </c>
      <c r="H137" s="89" t="str">
        <f>VLOOKUP($D137,$D$114:J$126,5,FALSE)</f>
        <v/>
      </c>
      <c r="I137" s="89" t="str">
        <f>VLOOKUP($D137,$D$114:J$126,6,FALSE)</f>
        <v/>
      </c>
      <c r="J137" s="82"/>
      <c r="K137" s="8"/>
      <c r="L137" s="79">
        <v>9</v>
      </c>
      <c r="M137" s="37" t="str">
        <f t="shared" si="18"/>
        <v>All MST ProvidersMST CombinedFeb-25</v>
      </c>
      <c r="N137" s="37" t="str">
        <f>VLOOKUP($L137,$L$114:N$126,3,FALSE)</f>
        <v>MST</v>
      </c>
      <c r="O137" s="81">
        <f>VLOOKUP($L137,$L$114:R$126,4,FALSE)</f>
        <v>0.25000499999999998</v>
      </c>
      <c r="P137" s="89" t="str">
        <f>VLOOKUP($L137,$L$114:P$126,5,FALSE)</f>
        <v/>
      </c>
      <c r="Q137" s="89" t="str">
        <f>VLOOKUP($L137,$L$114:Q$126,6,FALSE)</f>
        <v/>
      </c>
      <c r="R137" s="82"/>
      <c r="T137" s="79">
        <v>9</v>
      </c>
      <c r="U137" s="37" t="str">
        <f t="shared" si="19"/>
        <v>All MST-PSB ProvidersMST-PSB CombinedFeb-25</v>
      </c>
      <c r="V137" s="37" t="str">
        <f>VLOOKUP($L137,$T$114:W$126,3,FALSE)</f>
        <v>*MST-PSB</v>
      </c>
      <c r="W137" s="81">
        <f>VLOOKUP($T137,$T$114:W$126,4,FALSE)</f>
        <v>6.0000000000000002E-6</v>
      </c>
      <c r="X137" s="89" t="str">
        <f>VLOOKUP($T137,$T$114:X$126,5,FALSE)</f>
        <v/>
      </c>
      <c r="Y137" s="89" t="str">
        <f>VLOOKUP($T137,$T$114:Y$126,6,FALSE)</f>
        <v/>
      </c>
      <c r="Z137" s="82"/>
    </row>
    <row r="138" spans="1:26" x14ac:dyDescent="0.3">
      <c r="D138" s="79">
        <v>10</v>
      </c>
      <c r="E138" s="37" t="str">
        <f t="shared" si="17"/>
        <v>All ABC ProvidersABC CombinedFeb-25</v>
      </c>
      <c r="F138" s="37" t="str">
        <f>VLOOKUP($D138,$D$114:G$126,3,FALSE)</f>
        <v>ABC</v>
      </c>
      <c r="G138" s="81">
        <f>VLOOKUP($D138,$D$114:J$126,4,FALSE)</f>
        <v>1.1E-5</v>
      </c>
      <c r="H138" s="89" t="str">
        <f>VLOOKUP($D138,$D$114:J$126,5,FALSE)</f>
        <v/>
      </c>
      <c r="I138" s="89" t="str">
        <f>VLOOKUP($D138,$D$114:J$126,6,FALSE)</f>
        <v/>
      </c>
      <c r="J138" s="82"/>
      <c r="K138" s="8"/>
      <c r="L138" s="79">
        <v>10</v>
      </c>
      <c r="M138" s="37" t="str">
        <f t="shared" si="18"/>
        <v>All SFCR ProvidersSFCR CombinedFeb-25</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9"/>
        <v>All MST ProvidersMST CombinedFeb-25</v>
      </c>
      <c r="V138" s="37" t="str">
        <f>VLOOKUP($L138,$T$114:W$126,3,FALSE)</f>
        <v>MST</v>
      </c>
      <c r="W138" s="81">
        <f>VLOOKUP($T138,$T$114:W$126,4,FALSE)</f>
        <v>5.0000000000000004E-6</v>
      </c>
      <c r="X138" s="89" t="str">
        <f>VLOOKUP($T138,$T$114:X$126,5,FALSE)</f>
        <v/>
      </c>
      <c r="Y138" s="89" t="str">
        <f>VLOOKUP($T138,$T$114:Y$126,6,FALSE)</f>
        <v/>
      </c>
      <c r="Z138" s="82"/>
    </row>
    <row r="139" spans="1:26" x14ac:dyDescent="0.3">
      <c r="D139" s="79">
        <v>11</v>
      </c>
      <c r="E139" s="37" t="str">
        <f t="shared" si="17"/>
        <v>All SFCR ProvidersSFCR CombinedFeb-25</v>
      </c>
      <c r="F139" s="37" t="str">
        <f>VLOOKUP($D139,$D$114:G$126,3,FALSE)</f>
        <v>SFCR</v>
      </c>
      <c r="G139" s="81">
        <f>VLOOKUP($D139,$D$114:J$126,4,FALSE)</f>
        <v>7.9999999999999996E-6</v>
      </c>
      <c r="H139" s="89" t="str">
        <f>VLOOKUP($D139,$D$114:J$126,5,FALSE)</f>
        <v/>
      </c>
      <c r="I139" s="89" t="str">
        <f>VLOOKUP($D139,$D$114:J$126,6,FALSE)</f>
        <v/>
      </c>
      <c r="J139" s="82"/>
      <c r="K139" s="8"/>
      <c r="L139" s="79">
        <v>11</v>
      </c>
      <c r="M139" s="37" t="str">
        <f t="shared" si="18"/>
        <v>All MST-PSB ProvidersMST-PSB CombinedFeb-25</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9"/>
        <v>All CPP-FV ProvidersCPP-FV CombinedFeb-25</v>
      </c>
      <c r="V139" s="37" t="str">
        <f>VLOOKUP($L139,$T$114:W$126,3,FALSE)</f>
        <v>CPP-FV</v>
      </c>
      <c r="W139" s="81">
        <f>VLOOKUP($T139,$T$114:W$126,4,FALSE)</f>
        <v>3.0000000000000001E-6</v>
      </c>
      <c r="X139" s="89" t="str">
        <f>VLOOKUP($T139,$T$114:X$126,5,FALSE)</f>
        <v/>
      </c>
      <c r="Y139" s="89" t="str">
        <f>VLOOKUP($T139,$T$114:Y$126,6,FALSE)</f>
        <v/>
      </c>
      <c r="Z139" s="82"/>
    </row>
    <row r="140" spans="1:26" ht="19.5" customHeight="1" thickBot="1" x14ac:dyDescent="0.55000000000000004">
      <c r="A140" s="87"/>
      <c r="D140" s="83">
        <v>12</v>
      </c>
      <c r="E140" s="84" t="str">
        <f>VLOOKUP($D140,D$114:G$126,2,FALSE)</f>
        <v>All MST-PSB ProvidersMST-PSB CombinedFeb-25</v>
      </c>
      <c r="F140" s="84" t="str">
        <f>VLOOKUP($D140,$D$114:G$126,3,FALSE)</f>
        <v>*MST-PSB</v>
      </c>
      <c r="G140" s="85">
        <f>VLOOKUP($D140,$D$114:J$126,4,FALSE)</f>
        <v>5.0000000000000004E-6</v>
      </c>
      <c r="H140" s="91" t="str">
        <f>VLOOKUP($D140,$D$114:J$126,5,FALSE)</f>
        <v/>
      </c>
      <c r="I140" s="91" t="str">
        <f>VLOOKUP($D140,$D$114:J$126,6,FALSE)</f>
        <v/>
      </c>
      <c r="J140" s="86"/>
      <c r="K140" s="8"/>
      <c r="L140" s="83">
        <v>12</v>
      </c>
      <c r="M140" s="84" t="str">
        <f>VLOOKUP($L140,L$114:M$126,2,FALSE)</f>
        <v>All A-CRA ProvidersA-CRA CombinedFeb-25</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CombinedFeb-25</v>
      </c>
      <c r="V140" s="84" t="str">
        <f>VLOOKUP($L140,$T$114:W$126,3,FALSE)</f>
        <v>*A-CRA</v>
      </c>
      <c r="W140" s="85">
        <f>VLOOKUP($T140,$T$114:W$126,4,FALSE)</f>
        <v>1.9999999999999999E-6</v>
      </c>
      <c r="X140" s="91" t="str">
        <f>VLOOKUP($T140,$T$114:X$126,5,FALSE)</f>
        <v/>
      </c>
      <c r="Y140" s="91" t="str">
        <f>VLOOKUP($T140,$T$114:Y$126,6,FALSE)</f>
        <v/>
      </c>
      <c r="Z140" s="86"/>
    </row>
    <row r="141" spans="1:26" ht="26.4" thickBot="1" x14ac:dyDescent="0.55000000000000004">
      <c r="A141" s="87" t="str">
        <f>graphs!A20</f>
        <v>TIP</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x14ac:dyDescent="0.3">
      <c r="D142" s="76"/>
      <c r="E142" s="77" t="str">
        <f>A141&amp;" "&amp;"Utilization"</f>
        <v>TIP Utilization</v>
      </c>
      <c r="F142" s="77"/>
      <c r="G142" s="77"/>
      <c r="H142" s="77" t="s">
        <v>60</v>
      </c>
      <c r="I142" s="77" t="s">
        <v>61</v>
      </c>
      <c r="J142" s="78"/>
      <c r="K142" s="8"/>
      <c r="L142" s="76"/>
      <c r="M142" s="77" t="str">
        <f>A141&amp;" "&amp;L141</f>
        <v>TIP Staffing</v>
      </c>
      <c r="N142" s="77"/>
      <c r="O142" s="77"/>
      <c r="P142" s="77" t="s">
        <v>57</v>
      </c>
      <c r="Q142" s="77" t="s">
        <v>44159</v>
      </c>
      <c r="R142" s="78"/>
      <c r="T142" s="76"/>
      <c r="U142" s="77" t="str">
        <f>A141&amp;" "&amp;T141</f>
        <v>TIP Outcomes</v>
      </c>
      <c r="V142" s="77"/>
      <c r="W142" s="77"/>
      <c r="X142" s="77" t="s">
        <v>45459</v>
      </c>
      <c r="Y142" s="77" t="s">
        <v>44182</v>
      </c>
      <c r="Z142" s="78"/>
    </row>
    <row r="143" spans="1:26" x14ac:dyDescent="0.3">
      <c r="D143" s="79"/>
      <c r="E143" s="37" t="str">
        <f>VLOOKUP(A141,B5:M17,4,FALSE)</f>
        <v>All TIP ProvidersTIP CombinedFeb-25</v>
      </c>
      <c r="F143" s="37" t="str">
        <f>A141</f>
        <v>TIP</v>
      </c>
      <c r="G143" s="81">
        <f>VLOOKUP(A141,B5:M17,6,FALSE)</f>
        <v>0.66666666666666663</v>
      </c>
      <c r="H143" s="89" t="str">
        <f>VLOOKUP(A141,B5:M17,7,FALSE)</f>
        <v/>
      </c>
      <c r="I143" s="89" t="str">
        <f>VLOOKUP(A141,B5:M17,8,FALSE)</f>
        <v/>
      </c>
      <c r="J143" s="82"/>
      <c r="K143" s="8"/>
      <c r="L143" s="79"/>
      <c r="M143" s="37" t="str">
        <f t="shared" ref="M143:M153" si="20">E143</f>
        <v>All TIP ProvidersTIP CombinedFeb-25</v>
      </c>
      <c r="N143" s="37" t="str">
        <f t="shared" ref="N143:N153" si="21">F143</f>
        <v>TIP</v>
      </c>
      <c r="O143" s="81">
        <f>VLOOKUP(A141,B5:M17,9,FALSE)</f>
        <v>0.85964912280701755</v>
      </c>
      <c r="P143" s="95" t="str">
        <f>VLOOKUP(A141,B5:M17,10,FALSE)</f>
        <v/>
      </c>
      <c r="Q143" s="95" t="str">
        <f>VLOOKUP(A141,B5:M17,11,FALSE)</f>
        <v/>
      </c>
      <c r="R143" s="82"/>
      <c r="T143" s="79"/>
      <c r="U143" s="37" t="str">
        <f>E143</f>
        <v>All TIP ProvidersTIP CombinedFeb-25</v>
      </c>
      <c r="V143" s="37" t="str">
        <f t="shared" ref="V143:V154" si="22">N143</f>
        <v>TIP</v>
      </c>
      <c r="W143" s="81">
        <f>VLOOKUP(A141,B5:M17,12,FALSE)</f>
        <v>0.44444444444444442</v>
      </c>
      <c r="X143" s="89" t="str">
        <f>VLOOKUP(A141,B5:N17,13,FALSE)</f>
        <v/>
      </c>
      <c r="Y143" s="89" t="str">
        <f>VLOOKUP(A141,B5:O17,14,FALSE)</f>
        <v/>
      </c>
      <c r="Z143" s="82"/>
    </row>
    <row r="144" spans="1:26" x14ac:dyDescent="0.3">
      <c r="D144" s="79">
        <f t="shared" ref="D144:D154" si="23">IFERROR(RANK(G144,G$144:G$154,0),"")</f>
        <v>11</v>
      </c>
      <c r="E144" s="37" t="str">
        <f>IFERROR(VLOOKUP(A$141&amp;1,C$4:I$107,3,FALSE),"")</f>
        <v>Community ConnectionsTIP CombinedFeb-25</v>
      </c>
      <c r="F144" s="37" t="str">
        <f t="shared" ref="F144:F154" si="24">IFERROR(VLOOKUP(E144,E$4:F$110,2,FALSE),"")</f>
        <v>CC</v>
      </c>
      <c r="G144" s="81">
        <f>IFERROR(VLOOKUP(E144,E$4:I$110,3,FALSE)+0.000001,"")</f>
        <v>9.9999999999999995E-7</v>
      </c>
      <c r="H144" s="89" t="str">
        <f>IFERROR(VLOOKUP(E144,E$4:I$110,4,FALSE)+0.000001,"")</f>
        <v/>
      </c>
      <c r="I144" s="89" t="str">
        <f>IFERROR(VLOOKUP(E144,E$4:J$110,5,FALSE)+0.000001,"")</f>
        <v/>
      </c>
      <c r="J144" s="82"/>
      <c r="K144" s="8"/>
      <c r="L144" s="79">
        <f t="shared" ref="L144:L154" si="25">IFERROR(RANK(O144,O$144:O$154,0),"")</f>
        <v>11</v>
      </c>
      <c r="M144" s="37" t="str">
        <f t="shared" si="20"/>
        <v>Community ConnectionsTIP CombinedFeb-25</v>
      </c>
      <c r="N144" s="37" t="str">
        <f t="shared" si="21"/>
        <v>CC</v>
      </c>
      <c r="O144" s="81">
        <f>IFERROR(VLOOKUP(E144,E$4:K$110,6,FALSE)+0.000001,"")</f>
        <v>9.9999999999999995E-7</v>
      </c>
      <c r="P144" s="95" t="str">
        <f t="shared" ref="P144:P152" si="26">IFERROR(VLOOKUP(E144,E$4:L$110,7,FALSE)+0.000001,"")</f>
        <v/>
      </c>
      <c r="Q144" s="95" t="str">
        <f t="shared" ref="Q144:Q152" si="27">IFERROR(VLOOKUP(E144,E$4:M$110,8,FALSE)+0.000001,"")</f>
        <v/>
      </c>
      <c r="R144" s="82"/>
      <c r="T144" s="79">
        <f t="shared" ref="T144:T154" si="28">IFERROR(RANK(W144,W$144:W$154,0),"")</f>
        <v>11</v>
      </c>
      <c r="U144" s="37" t="str">
        <f t="shared" ref="U144:U154" si="29">M144</f>
        <v>Community ConnectionsTIP CombinedFeb-25</v>
      </c>
      <c r="V144" s="37" t="str">
        <f t="shared" si="22"/>
        <v>CC</v>
      </c>
      <c r="W144" s="81">
        <f>IFERROR(VLOOKUP(E144,E$4:M$110,9,FALSE)+0.000001,"")</f>
        <v>9.9999999999999995E-7</v>
      </c>
      <c r="X144" s="89" t="str">
        <f>IFERROR(VLOOKUP(E144,E$4:T$106,10,FALSE)+0.000001,"")</f>
        <v/>
      </c>
      <c r="Y144" s="89" t="str">
        <f>IFERROR(VLOOKUP(E144,E$4:U$106,11,FALSE)+0.000001,"")</f>
        <v/>
      </c>
      <c r="Z144" s="82"/>
    </row>
    <row r="145" spans="4:26" x14ac:dyDescent="0.3">
      <c r="D145" s="79">
        <f t="shared" si="23"/>
        <v>10</v>
      </c>
      <c r="E145" s="37" t="str">
        <f>IFERROR(VLOOKUP(A$141&amp;2,C$4:I$107,3,FALSE),"")</f>
        <v>ContemporaryTIP CombinedFeb-25</v>
      </c>
      <c r="F145" s="37" t="str">
        <f t="shared" si="24"/>
        <v>*Cont</v>
      </c>
      <c r="G145" s="81">
        <f>IFERROR(VLOOKUP(E145,E$4:I$110,3,FALSE)+0.000002,"")</f>
        <v>1.9999999999999999E-6</v>
      </c>
      <c r="H145" s="89" t="str">
        <f>IFERROR(VLOOKUP(E145,E$4:I$110,4,FALSE)+0.000002,"")</f>
        <v/>
      </c>
      <c r="I145" s="89" t="str">
        <f>IFERROR(VLOOKUP(E145,E$4:J$110,5,FALSE)+0.000002,"")</f>
        <v/>
      </c>
      <c r="J145" s="82"/>
      <c r="K145" s="8"/>
      <c r="L145" s="79">
        <f t="shared" si="25"/>
        <v>10</v>
      </c>
      <c r="M145" s="37" t="str">
        <f t="shared" si="20"/>
        <v>ContemporaryTIP CombinedFeb-25</v>
      </c>
      <c r="N145" s="37" t="str">
        <f t="shared" si="21"/>
        <v>*Cont</v>
      </c>
      <c r="O145" s="81">
        <f>IFERROR(VLOOKUP(E145,E$4:K$110,6,FALSE)+0.000002,"")</f>
        <v>1.9999999999999999E-6</v>
      </c>
      <c r="P145" s="95" t="str">
        <f t="shared" si="26"/>
        <v/>
      </c>
      <c r="Q145" s="95" t="str">
        <f t="shared" si="27"/>
        <v/>
      </c>
      <c r="R145" s="82"/>
      <c r="T145" s="79">
        <f t="shared" si="28"/>
        <v>10</v>
      </c>
      <c r="U145" s="37" t="str">
        <f t="shared" si="29"/>
        <v>ContemporaryTIP CombinedFeb-25</v>
      </c>
      <c r="V145" s="37" t="str">
        <f t="shared" si="22"/>
        <v>*Cont</v>
      </c>
      <c r="W145" s="81">
        <f>IFERROR(VLOOKUP(E145,E$4:M$110,9,FALSE)+0.000002,"")</f>
        <v>1.9999999999999999E-6</v>
      </c>
      <c r="X145" s="89" t="str">
        <f>IFERROR(VLOOKUP(E145,E$4:T$106,10,FALSE)+0.000002,"")</f>
        <v/>
      </c>
      <c r="Y145" s="89" t="str">
        <f>IFERROR(VLOOKUP(E145,E$4:U$106,11,FALSE)+0.000002,"")</f>
        <v/>
      </c>
      <c r="Z145" s="82"/>
    </row>
    <row r="146" spans="4:26" x14ac:dyDescent="0.3">
      <c r="D146" s="79">
        <f t="shared" si="23"/>
        <v>9</v>
      </c>
      <c r="E146" s="37" t="str">
        <f>IFERROR(VLOOKUP(A$141&amp;3,C$4:I$107,3,FALSE),"")</f>
        <v>FPSTIP CombinedFeb-25</v>
      </c>
      <c r="F146" s="37" t="str">
        <f t="shared" si="24"/>
        <v>*FPS</v>
      </c>
      <c r="G146" s="81">
        <f>IFERROR(VLOOKUP(E146,E$4:I$110,3,FALSE)+0.000003,"")</f>
        <v>3.0000000000000001E-6</v>
      </c>
      <c r="H146" s="89" t="str">
        <f>IFERROR(VLOOKUP(E146,E$4:I$110,4,FALSE)+0.000003,"")</f>
        <v/>
      </c>
      <c r="I146" s="89" t="str">
        <f>IFERROR(VLOOKUP(E146,E$4:J$110,5,FALSE)+0.000003,"")</f>
        <v/>
      </c>
      <c r="J146" s="82"/>
      <c r="K146" s="8"/>
      <c r="L146" s="79">
        <f t="shared" si="25"/>
        <v>9</v>
      </c>
      <c r="M146" s="37" t="str">
        <f t="shared" si="20"/>
        <v>FPSTIP CombinedFeb-25</v>
      </c>
      <c r="N146" s="37" t="str">
        <f t="shared" si="21"/>
        <v>*FPS</v>
      </c>
      <c r="O146" s="81">
        <f>IFERROR(VLOOKUP(E146,E$4:K$110,6,FALSE)+0.000003,"")</f>
        <v>3.0000000000000001E-6</v>
      </c>
      <c r="P146" s="95" t="str">
        <f t="shared" si="26"/>
        <v/>
      </c>
      <c r="Q146" s="95" t="str">
        <f t="shared" si="27"/>
        <v/>
      </c>
      <c r="R146" s="82"/>
      <c r="T146" s="79">
        <f t="shared" si="28"/>
        <v>9</v>
      </c>
      <c r="U146" s="37" t="str">
        <f t="shared" si="29"/>
        <v>FPSTIP CombinedFeb-25</v>
      </c>
      <c r="V146" s="37" t="str">
        <f t="shared" si="22"/>
        <v>*FPS</v>
      </c>
      <c r="W146" s="81">
        <f>IFERROR(VLOOKUP(E146,E$4:M$110,9,FALSE)+0.000003,"")</f>
        <v>3.0000000000000001E-6</v>
      </c>
      <c r="X146" s="89" t="str">
        <f>IFERROR(VLOOKUP(E146,E$4:T$106,10,FALSE)+0.000003,"")</f>
        <v/>
      </c>
      <c r="Y146" s="89" t="str">
        <f>IFERROR(VLOOKUP(E146,E$4:U$106,11,FALSE)+0.000003,"")</f>
        <v/>
      </c>
      <c r="Z146" s="82"/>
    </row>
    <row r="147" spans="4:26" x14ac:dyDescent="0.3">
      <c r="D147" s="79">
        <f t="shared" si="23"/>
        <v>8</v>
      </c>
      <c r="E147" s="37" t="str">
        <f>IFERROR(VLOOKUP(A$141&amp;4,C$4:I$107,3,FALSE),"")</f>
        <v>Green DoorTIP CombinedFeb-25</v>
      </c>
      <c r="F147" s="37" t="str">
        <f t="shared" si="24"/>
        <v>*GD</v>
      </c>
      <c r="G147" s="81">
        <f>IFERROR(VLOOKUP(E147,E$4:I$110,3,FALSE)+0.000004,"")</f>
        <v>3.9999999999999998E-6</v>
      </c>
      <c r="H147" s="89" t="str">
        <f>IFERROR(VLOOKUP(E147,E$4:I$110,4,FALSE)+0.000004,"")</f>
        <v/>
      </c>
      <c r="I147" s="89" t="str">
        <f>IFERROR(VLOOKUP(E147,E$4:J$110,5,FALSE)+0.000004,"")</f>
        <v/>
      </c>
      <c r="J147" s="82"/>
      <c r="K147" s="8"/>
      <c r="L147" s="79">
        <f t="shared" si="25"/>
        <v>8</v>
      </c>
      <c r="M147" s="37" t="str">
        <f t="shared" si="20"/>
        <v>Green DoorTIP CombinedFeb-25</v>
      </c>
      <c r="N147" s="37" t="str">
        <f t="shared" si="21"/>
        <v>*GD</v>
      </c>
      <c r="O147" s="81">
        <f>IFERROR(VLOOKUP(E147,E$4:K$110,6,FALSE)+0.000004,"")</f>
        <v>3.9999999999999998E-6</v>
      </c>
      <c r="P147" s="95" t="str">
        <f t="shared" si="26"/>
        <v/>
      </c>
      <c r="Q147" s="95" t="str">
        <f t="shared" si="27"/>
        <v/>
      </c>
      <c r="R147" s="82"/>
      <c r="T147" s="79">
        <f t="shared" si="28"/>
        <v>8</v>
      </c>
      <c r="U147" s="37" t="str">
        <f t="shared" si="29"/>
        <v>Green DoorTIP CombinedFeb-25</v>
      </c>
      <c r="V147" s="37" t="str">
        <f t="shared" si="22"/>
        <v>*GD</v>
      </c>
      <c r="W147" s="81">
        <f>IFERROR(VLOOKUP(E147,E$4:M$110,9,FALSE)+0.000004,"")</f>
        <v>3.9999999999999998E-6</v>
      </c>
      <c r="X147" s="89" t="str">
        <f>IFERROR(VLOOKUP(E147,E$4:T$106,10,FALSE)+0.000004,"")</f>
        <v/>
      </c>
      <c r="Y147" s="89" t="str">
        <f>IFERROR(VLOOKUP(E147,E$4:U$106,11,FALSE)+0.000004,"")</f>
        <v/>
      </c>
      <c r="Z147" s="82"/>
    </row>
    <row r="148" spans="4:26" x14ac:dyDescent="0.3">
      <c r="D148" s="79">
        <f t="shared" si="23"/>
        <v>5</v>
      </c>
      <c r="E148" s="37" t="str">
        <f>IFERROR(VLOOKUP(A$141&amp;5,C$4:I$107,3,FALSE),"")</f>
        <v>LESTIP CombinedFeb-25</v>
      </c>
      <c r="F148" s="37" t="str">
        <f t="shared" si="24"/>
        <v>LES</v>
      </c>
      <c r="G148" s="81">
        <f>IFERROR(VLOOKUP(E148,E$4:I$110,3,FALSE)+0.000005,"")</f>
        <v>0.31429071428571426</v>
      </c>
      <c r="H148" s="89" t="str">
        <f>IFERROR(VLOOKUP(E148,E$4:I$110,4,FALSE)+0.000005,"")</f>
        <v/>
      </c>
      <c r="I148" s="89" t="str">
        <f>IFERROR(VLOOKUP(E148,E$4:J$110,5,FALSE)+0.000005,"")</f>
        <v/>
      </c>
      <c r="J148" s="82"/>
      <c r="K148" s="8"/>
      <c r="L148" s="79">
        <f t="shared" si="25"/>
        <v>2</v>
      </c>
      <c r="M148" s="37" t="str">
        <f t="shared" si="20"/>
        <v>LESTIP CombinedFeb-25</v>
      </c>
      <c r="N148" s="37" t="str">
        <f t="shared" si="21"/>
        <v>LES</v>
      </c>
      <c r="O148" s="81">
        <f>IFERROR(VLOOKUP(E148,E$4:K$110,6,FALSE)+0.000005,"")</f>
        <v>1.000005</v>
      </c>
      <c r="P148" s="95">
        <f t="shared" si="26"/>
        <v>2.5000010000000001</v>
      </c>
      <c r="Q148" s="95">
        <f t="shared" si="27"/>
        <v>2.5000010000000001</v>
      </c>
      <c r="R148" s="82"/>
      <c r="T148" s="79">
        <f t="shared" si="28"/>
        <v>7</v>
      </c>
      <c r="U148" s="37" t="str">
        <f t="shared" si="29"/>
        <v>LESTIP CombinedFeb-25</v>
      </c>
      <c r="V148" s="37" t="str">
        <f t="shared" si="22"/>
        <v>LES</v>
      </c>
      <c r="W148" s="81">
        <f>IFERROR(VLOOKUP(E148,E$4:M$110,9,FALSE)+0.000005,"")</f>
        <v>5.0000000000000004E-6</v>
      </c>
      <c r="X148" s="89" t="str">
        <f>IFERROR(VLOOKUP(E148,E$4:T$106,10,FALSE)+0.000005,"")</f>
        <v/>
      </c>
      <c r="Y148" s="89" t="str">
        <f>IFERROR(VLOOKUP(E148,E$4:U$106,11,FALSE)+0.000005,"")</f>
        <v/>
      </c>
      <c r="Z148" s="82"/>
    </row>
    <row r="149" spans="4:26" x14ac:dyDescent="0.3">
      <c r="D149" s="79">
        <f t="shared" si="23"/>
        <v>2</v>
      </c>
      <c r="E149" s="37" t="str">
        <f>IFERROR(VLOOKUP(A$141&amp;6,C$4:I$107,3,FALSE),"")</f>
        <v>MBI HSTIP CombinedFeb-25</v>
      </c>
      <c r="F149" s="37" t="str">
        <f t="shared" si="24"/>
        <v>MBI</v>
      </c>
      <c r="G149" s="81">
        <f>IFERROR(VLOOKUP(E149,E$4:I$110,3,FALSE)+0.000006,"")</f>
        <v>0.48750599999999999</v>
      </c>
      <c r="H149" s="89" t="str">
        <f>IFERROR(VLOOKUP(E149,E$4:I$110,4,FALSE)+0.000006,"")</f>
        <v/>
      </c>
      <c r="I149" s="89" t="str">
        <f>IFERROR(VLOOKUP(E149,E$4:J$110,5,FALSE)+0.000006,"")</f>
        <v/>
      </c>
      <c r="J149" s="82"/>
      <c r="K149" s="8"/>
      <c r="L149" s="79">
        <f t="shared" si="25"/>
        <v>4</v>
      </c>
      <c r="M149" s="37" t="str">
        <f t="shared" si="20"/>
        <v>MBI HSTIP CombinedFeb-25</v>
      </c>
      <c r="N149" s="37" t="str">
        <f t="shared" si="21"/>
        <v>MBI</v>
      </c>
      <c r="O149" s="81">
        <f>IFERROR(VLOOKUP(E149,E$4:K$110,6,FALSE)+0.000006,"")</f>
        <v>0.77778377777777774</v>
      </c>
      <c r="P149" s="95">
        <f t="shared" si="26"/>
        <v>7.0000010000000001</v>
      </c>
      <c r="Q149" s="95">
        <f t="shared" si="27"/>
        <v>9.0000009999999993</v>
      </c>
      <c r="R149" s="82"/>
      <c r="T149" s="79">
        <f t="shared" si="28"/>
        <v>6</v>
      </c>
      <c r="U149" s="37" t="str">
        <f t="shared" si="29"/>
        <v>MBI HSTIP CombinedFeb-25</v>
      </c>
      <c r="V149" s="37" t="str">
        <f t="shared" si="22"/>
        <v>MBI</v>
      </c>
      <c r="W149" s="81">
        <f>IFERROR(VLOOKUP(E149,E$4:M$110,9,FALSE)+0.000006,"")</f>
        <v>6.0000000000000002E-6</v>
      </c>
      <c r="X149" s="89" t="str">
        <f>IFERROR(VLOOKUP(E149,E$4:T$106,10,FALSE)+0.000006,"")</f>
        <v/>
      </c>
      <c r="Y149" s="89" t="str">
        <f>IFERROR(VLOOKUP(E149,E$4:U$106,11,FALSE)+0.000006,"")</f>
        <v/>
      </c>
      <c r="Z149" s="82"/>
    </row>
    <row r="150" spans="4:26" x14ac:dyDescent="0.3">
      <c r="D150" s="79">
        <f t="shared" si="23"/>
        <v>1</v>
      </c>
      <c r="E150" s="37" t="str">
        <f>IFERROR(VLOOKUP(A$141&amp;7,C$4:I$107,3,FALSE),"")</f>
        <v>PASSTIP CombinedFeb-25</v>
      </c>
      <c r="F150" s="37" t="str">
        <f t="shared" si="24"/>
        <v>PASS</v>
      </c>
      <c r="G150" s="81">
        <f>IFERROR(VLOOKUP(E150,E$4:I$110,3,FALSE)+0.000007,"")</f>
        <v>1.3142927142857144</v>
      </c>
      <c r="H150" s="89" t="str">
        <f>IFERROR(VLOOKUP(E150,E$4:I$110,4,FALSE)+0.000007,"")</f>
        <v/>
      </c>
      <c r="I150" s="89" t="str">
        <f>IFERROR(VLOOKUP(E150,E$4:J$110,5,FALSE)+0.000007,"")</f>
        <v/>
      </c>
      <c r="J150" s="82"/>
      <c r="K150" s="8"/>
      <c r="L150" s="79">
        <f t="shared" si="25"/>
        <v>3</v>
      </c>
      <c r="M150" s="37" t="str">
        <f t="shared" si="20"/>
        <v>PASSTIP CombinedFeb-25</v>
      </c>
      <c r="N150" s="37" t="str">
        <f t="shared" si="21"/>
        <v>PASS</v>
      </c>
      <c r="O150" s="81">
        <f>IFERROR(VLOOKUP(E150,E$4:K$110,6,FALSE)+0.000007,"")</f>
        <v>0.87500699999999998</v>
      </c>
      <c r="P150" s="95">
        <f t="shared" si="26"/>
        <v>7.0000010000000001</v>
      </c>
      <c r="Q150" s="95">
        <f t="shared" si="27"/>
        <v>8.0000009999999993</v>
      </c>
      <c r="R150" s="82"/>
      <c r="T150" s="79">
        <f t="shared" si="28"/>
        <v>1</v>
      </c>
      <c r="U150" s="37" t="str">
        <f t="shared" si="29"/>
        <v>PASSTIP CombinedFeb-25</v>
      </c>
      <c r="V150" s="37" t="str">
        <f t="shared" si="22"/>
        <v>PASS</v>
      </c>
      <c r="W150" s="81">
        <f>IFERROR(VLOOKUP(E150,E$4:M$110,9,FALSE)+0.000007,"")</f>
        <v>0.57143557142857138</v>
      </c>
      <c r="X150" s="89" t="str">
        <f>IFERROR(VLOOKUP(E150,E$4:T$106,10,FALSE)+0.000007,"")</f>
        <v/>
      </c>
      <c r="Y150" s="89" t="str">
        <f>IFERROR(VLOOKUP(E150,E$4:U$106,11,FALSE)+0.000007,"")</f>
        <v/>
      </c>
      <c r="Z150" s="82"/>
    </row>
    <row r="151" spans="4:26" x14ac:dyDescent="0.3">
      <c r="D151" s="79">
        <f t="shared" si="23"/>
        <v>7</v>
      </c>
      <c r="E151" s="37" t="str">
        <f>IFERROR(VLOOKUP(A$141&amp;8,C$4:I$107,3,FALSE),"")</f>
        <v>TFCCTIP CombinedFeb-25</v>
      </c>
      <c r="F151" s="37" t="str">
        <f t="shared" si="24"/>
        <v>*TFCC</v>
      </c>
      <c r="G151" s="81">
        <f>IFERROR(VLOOKUP(E151,E$4:I$110,3,FALSE)+0.000008,"")</f>
        <v>7.9999999999999996E-6</v>
      </c>
      <c r="H151" s="89" t="str">
        <f>IFERROR(VLOOKUP(E151,E$4:I$110,4,FALSE)+0.000008,"")</f>
        <v/>
      </c>
      <c r="I151" s="89" t="str">
        <f>IFERROR(VLOOKUP(E151,E$4:J$110,5,FALSE)+0.000008,"")</f>
        <v/>
      </c>
      <c r="J151" s="82"/>
      <c r="K151" s="8"/>
      <c r="L151" s="79">
        <f t="shared" si="25"/>
        <v>7</v>
      </c>
      <c r="M151" s="37" t="str">
        <f t="shared" si="20"/>
        <v>TFCCTIP CombinedFeb-25</v>
      </c>
      <c r="N151" s="37" t="str">
        <f t="shared" si="21"/>
        <v>*TFCC</v>
      </c>
      <c r="O151" s="81">
        <f>IFERROR(VLOOKUP(E151,E$4:K$110,6,FALSE)+0.000008,"")</f>
        <v>7.9999999999999996E-6</v>
      </c>
      <c r="P151" s="95" t="str">
        <f t="shared" si="26"/>
        <v/>
      </c>
      <c r="Q151" s="95" t="str">
        <f t="shared" si="27"/>
        <v/>
      </c>
      <c r="R151" s="82"/>
      <c r="T151" s="79">
        <f t="shared" si="28"/>
        <v>5</v>
      </c>
      <c r="U151" s="37" t="str">
        <f t="shared" si="29"/>
        <v>TFCCTIP CombinedFeb-25</v>
      </c>
      <c r="V151" s="37" t="str">
        <f t="shared" si="22"/>
        <v>*TFCC</v>
      </c>
      <c r="W151" s="81">
        <f>IFERROR(VLOOKUP(E151,E$4:M$110,9,FALSE)+0.000008,"")</f>
        <v>7.9999999999999996E-6</v>
      </c>
      <c r="X151" s="89" t="str">
        <f>IFERROR(VLOOKUP(E151,E$4:T$106,10,FALSE)+0.000008,"")</f>
        <v/>
      </c>
      <c r="Y151" s="89" t="str">
        <f>IFERROR(VLOOKUP(E151,E$4:U$106,11,FALSE)+0.000008,"")</f>
        <v/>
      </c>
      <c r="Z151" s="82"/>
    </row>
    <row r="152" spans="4:26" x14ac:dyDescent="0.3">
      <c r="D152" s="79">
        <f t="shared" si="23"/>
        <v>3</v>
      </c>
      <c r="E152" s="37" t="str">
        <f>IFERROR(VLOOKUP(A$141&amp;9,C$4:I$107,3,FALSE),"")</f>
        <v>UmbrellaTIP CombinedFeb-25</v>
      </c>
      <c r="F152" s="37" t="str">
        <f t="shared" si="24"/>
        <v>UTS</v>
      </c>
      <c r="G152" s="81">
        <f>IFERROR(VLOOKUP(E152,E$4:I$110,3,FALSE)+0.000009,"")</f>
        <v>0.48485748484848484</v>
      </c>
      <c r="H152" s="89" t="str">
        <f>IFERROR(VLOOKUP(E152,E$4:I$110,4,FALSE)+0.000009,"")</f>
        <v/>
      </c>
      <c r="I152" s="89" t="str">
        <f>IFERROR(VLOOKUP(E152,E$4:J$110,5,FALSE)+0.000009,"")</f>
        <v/>
      </c>
      <c r="J152" s="82"/>
      <c r="K152" s="8"/>
      <c r="L152" s="79">
        <f t="shared" si="25"/>
        <v>1</v>
      </c>
      <c r="M152" s="37" t="str">
        <f t="shared" si="20"/>
        <v>UmbrellaTIP CombinedFeb-25</v>
      </c>
      <c r="N152" s="37" t="str">
        <f t="shared" si="21"/>
        <v>UTS</v>
      </c>
      <c r="O152" s="81">
        <f>IFERROR(VLOOKUP(E152,E$4:K$110,6,FALSE)+0.000009,"")</f>
        <v>1.0000089999999999</v>
      </c>
      <c r="P152" s="95">
        <f t="shared" si="26"/>
        <v>6.0000010000000001</v>
      </c>
      <c r="Q152" s="95">
        <f t="shared" si="27"/>
        <v>6.0000010000000001</v>
      </c>
      <c r="R152" s="82"/>
      <c r="T152" s="79">
        <f t="shared" si="28"/>
        <v>4</v>
      </c>
      <c r="U152" s="37" t="str">
        <f t="shared" si="29"/>
        <v>UmbrellaTIP CombinedFeb-25</v>
      </c>
      <c r="V152" s="37" t="str">
        <f t="shared" si="22"/>
        <v>UTS</v>
      </c>
      <c r="W152" s="81">
        <f>IFERROR(VLOOKUP(E152,E$4:M$110,9,FALSE)+0.000009,"")</f>
        <v>9.0000000000000002E-6</v>
      </c>
      <c r="X152" s="89" t="str">
        <f>IFERROR(VLOOKUP(E152,E$4:T$106,10,FALSE)+0.000009,"")</f>
        <v/>
      </c>
      <c r="Y152" s="89" t="str">
        <f>IFERROR(VLOOKUP(E152,E$4:U$106,11,FALSE)+0.000009,"")</f>
        <v/>
      </c>
      <c r="Z152" s="82"/>
    </row>
    <row r="153" spans="4:26" x14ac:dyDescent="0.3">
      <c r="D153" s="79">
        <f t="shared" si="23"/>
        <v>6</v>
      </c>
      <c r="E153" s="37" t="str">
        <f>IFERROR(VLOOKUP(A$141&amp;10,C$4:I$107,3,FALSE),"")</f>
        <v>UniversalTIP CombinedFeb-25</v>
      </c>
      <c r="F153" s="37" t="str">
        <f t="shared" si="24"/>
        <v>*Uni</v>
      </c>
      <c r="G153" s="81">
        <f>IFERROR(VLOOKUP(E153,E$4:I$110,3,FALSE)+0.00001,"")</f>
        <v>1.0000000000000001E-5</v>
      </c>
      <c r="H153" s="89" t="str">
        <f>IFERROR(VLOOKUP(E153,E$4:I$110,4,FALSE)+0.00001,"")</f>
        <v/>
      </c>
      <c r="I153" s="89" t="str">
        <f>IFERROR(VLOOKUP(E153,E$4:J$110,5,FALSE)+0.00001,"")</f>
        <v/>
      </c>
      <c r="J153" s="82"/>
      <c r="K153" s="8"/>
      <c r="L153" s="79">
        <f t="shared" si="25"/>
        <v>6</v>
      </c>
      <c r="M153" s="37" t="str">
        <f t="shared" si="20"/>
        <v>UniversalTIP CombinedFeb-25</v>
      </c>
      <c r="N153" s="37" t="str">
        <f t="shared" si="21"/>
        <v>*Uni</v>
      </c>
      <c r="O153" s="81">
        <f>IFERROR(VLOOKUP(E153,E$4:K$110,6,FALSE)+0.00001,"")</f>
        <v>1.0000000000000001E-5</v>
      </c>
      <c r="P153" s="95">
        <f>IFERROR(VLOOKUP(E154,E$4:L$110,7,FALSE)+0.000001,"")</f>
        <v>2.0000010000000001</v>
      </c>
      <c r="Q153" s="95">
        <f>IFERROR(VLOOKUP(E154,E$4:M$110,8,FALSE)+0.000001,"")</f>
        <v>3.0000010000000001</v>
      </c>
      <c r="R153" s="82"/>
      <c r="T153" s="79">
        <f t="shared" si="28"/>
        <v>3</v>
      </c>
      <c r="U153" s="37" t="str">
        <f t="shared" si="29"/>
        <v>UniversalTIP CombinedFeb-25</v>
      </c>
      <c r="V153" s="37" t="str">
        <f t="shared" si="22"/>
        <v>*Uni</v>
      </c>
      <c r="W153" s="81">
        <f>IFERROR(VLOOKUP(E153,E$4:M$110,9,FALSE)+0.00001,"")</f>
        <v>1.0000000000000001E-5</v>
      </c>
      <c r="X153" s="89" t="str">
        <f>IFERROR(VLOOKUP(E153,E$4:T$106,10,FALSE)+0.00001,"")</f>
        <v/>
      </c>
      <c r="Y153" s="89" t="str">
        <f>IFERROR(VLOOKUP(E153,E$4:U$106,11,FALSE)+0.00001,"")</f>
        <v/>
      </c>
      <c r="Z153" s="82"/>
    </row>
    <row r="154" spans="4:26" ht="15" thickBot="1" x14ac:dyDescent="0.35">
      <c r="D154" s="83">
        <f t="shared" si="23"/>
        <v>4</v>
      </c>
      <c r="E154" s="84" t="str">
        <f>IFERROR(VLOOKUP(A$141&amp;11,C$4:I$107,3,FALSE),"")</f>
        <v>Wayne PlaceTIP CombinedFeb-25</v>
      </c>
      <c r="F154" s="84" t="str">
        <f t="shared" si="24"/>
        <v>WP</v>
      </c>
      <c r="G154" s="85">
        <f>IFERROR(VLOOKUP(E154,E$4:I$110,3,FALSE)+0.000011,"")</f>
        <v>0.36364736363636363</v>
      </c>
      <c r="H154" s="91" t="str">
        <f>IFERROR(VLOOKUP(E154,E$4:I$110,4,FALSE)+0.00001,"")</f>
        <v/>
      </c>
      <c r="I154" s="91" t="str">
        <f>IFERROR(VLOOKUP(E154,E$4:J$110,5,FALSE)+0.00001,"")</f>
        <v/>
      </c>
      <c r="J154" s="86"/>
      <c r="K154" s="8"/>
      <c r="L154" s="83">
        <f t="shared" si="25"/>
        <v>5</v>
      </c>
      <c r="M154" s="84" t="str">
        <f>E154</f>
        <v>Wayne PlaceTIP CombinedFeb-25</v>
      </c>
      <c r="N154" s="84" t="str">
        <f>F154</f>
        <v>WP</v>
      </c>
      <c r="O154" s="85">
        <f>IFERROR(VLOOKUP(E154,E$4:K$110,6,FALSE)+0.000011,"")</f>
        <v>0.66667766666666661</v>
      </c>
      <c r="P154" s="96">
        <f>IFERROR(VLOOKUP(E154,E$4:L$110,7,FALSE)+0.000001,"")</f>
        <v>2.0000010000000001</v>
      </c>
      <c r="Q154" s="96">
        <f>IFERROR(VLOOKUP(E154,E$4:M$110,8,FALSE)+0.000001,"")</f>
        <v>3.0000010000000001</v>
      </c>
      <c r="R154" s="86"/>
      <c r="T154" s="79">
        <f t="shared" si="28"/>
        <v>2</v>
      </c>
      <c r="U154" s="84" t="str">
        <f t="shared" si="29"/>
        <v>Wayne PlaceTIP CombinedFeb-25</v>
      </c>
      <c r="V154" s="84" t="str">
        <f t="shared" si="22"/>
        <v>WP</v>
      </c>
      <c r="W154" s="85">
        <f>IFERROR(VLOOKUP(E154,E$4:M$110,9,FALSE)+0.000011,"")</f>
        <v>1.1E-5</v>
      </c>
      <c r="X154" s="91" t="str">
        <f>IFERROR(VLOOKUP(E154,E$4:T$106,10,FALSE)+0.00001,"")</f>
        <v/>
      </c>
      <c r="Y154" s="91" t="str">
        <f>IFERROR(VLOOKUP(E154,E$4:U$106,11,FALSE)+0.00001,"")</f>
        <v/>
      </c>
      <c r="Z154" s="86"/>
    </row>
    <row r="155" spans="4:26" x14ac:dyDescent="0.3">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x14ac:dyDescent="0.3">
      <c r="D156" s="79" t="s">
        <v>21</v>
      </c>
      <c r="E156" s="37" t="str">
        <f>E143</f>
        <v>All TIP ProvidersTIP CombinedFeb-25</v>
      </c>
      <c r="F156" s="37" t="str">
        <f>F143</f>
        <v>TIP</v>
      </c>
      <c r="G156" s="80">
        <f>G143</f>
        <v>0.66666666666666663</v>
      </c>
      <c r="H156" s="90" t="str">
        <f>H143</f>
        <v/>
      </c>
      <c r="I156" s="90" t="str">
        <f>I143</f>
        <v/>
      </c>
      <c r="J156" s="82"/>
      <c r="K156" s="8"/>
      <c r="L156" s="79" t="s">
        <v>19</v>
      </c>
      <c r="M156" s="37" t="str">
        <f>M143</f>
        <v>All TIP ProvidersTIP CombinedFeb-25</v>
      </c>
      <c r="N156" s="37" t="str">
        <f>N143</f>
        <v>TIP</v>
      </c>
      <c r="O156" s="80">
        <f>O143</f>
        <v>0.85964912280701755</v>
      </c>
      <c r="P156" s="99" t="str">
        <f>P143</f>
        <v/>
      </c>
      <c r="Q156" s="99" t="str">
        <f>Q143</f>
        <v/>
      </c>
      <c r="R156" s="82"/>
      <c r="T156" s="79" t="s">
        <v>22</v>
      </c>
      <c r="U156" s="37" t="str">
        <f>U143</f>
        <v>All TIP ProvidersTIP CombinedFeb-25</v>
      </c>
      <c r="V156" s="37" t="str">
        <f>V143</f>
        <v>TIP</v>
      </c>
      <c r="W156" s="80">
        <f>W143</f>
        <v>0.44444444444444442</v>
      </c>
      <c r="X156" s="90" t="str">
        <f>X143</f>
        <v/>
      </c>
      <c r="Y156" s="90" t="str">
        <f>Y143</f>
        <v/>
      </c>
      <c r="Z156" s="82"/>
    </row>
    <row r="157" spans="4:26" x14ac:dyDescent="0.3">
      <c r="D157" s="79">
        <v>1</v>
      </c>
      <c r="E157" s="37" t="str">
        <f t="shared" ref="E157:E167" si="30">IFERROR(VLOOKUP($D157,D$144:G$154,2,FALSE),"")</f>
        <v>PASSTIP CombinedFeb-25</v>
      </c>
      <c r="F157" s="37" t="str">
        <f>IFERROR(VLOOKUP($D157,$D$144:G$154,3,FALSE),"")</f>
        <v>PASS</v>
      </c>
      <c r="G157" s="81">
        <f>IFERROR(VLOOKUP($D157,$D$144:J$154,4,FALSE),"")</f>
        <v>1.3142927142857144</v>
      </c>
      <c r="H157" s="89" t="str">
        <f>IFERROR(VLOOKUP($D157,$D$144:K$154,5,FALSE),"")</f>
        <v/>
      </c>
      <c r="I157" s="89" t="str">
        <f>IFERROR(VLOOKUP($D157,$D$144:L$154,6,FALSE),"")</f>
        <v/>
      </c>
      <c r="J157" s="82"/>
      <c r="K157" s="8"/>
      <c r="L157" s="79">
        <v>1</v>
      </c>
      <c r="M157" s="37" t="str">
        <f t="shared" ref="M157:M167" si="31">IFERROR(VLOOKUP($L157,L$143:O$154,2,FALSE),"")</f>
        <v>UmbrellaTIP CombinedFeb-25</v>
      </c>
      <c r="N157" s="37" t="str">
        <f t="shared" ref="N157:N167" si="32">IFERROR(VLOOKUP($L157,$L$143:$O$154,3,FALSE),"")</f>
        <v>UTS</v>
      </c>
      <c r="O157" s="81">
        <f>IFERROR(VLOOKUP($L157,$L$142:R$154,4,FALSE),"")</f>
        <v>1.0000089999999999</v>
      </c>
      <c r="P157" s="95">
        <f>IFERROR(VLOOKUP($L157,$L$144:Q$153,5,FALSE),"")</f>
        <v>6.0000010000000001</v>
      </c>
      <c r="Q157" s="95">
        <f>IFERROR(VLOOKUP($L157,$L$143:R$154,6,FALSE),"")</f>
        <v>6.0000010000000001</v>
      </c>
      <c r="R157" s="82"/>
      <c r="T157" s="79">
        <v>1</v>
      </c>
      <c r="U157" s="37" t="str">
        <f t="shared" ref="U157:U167" si="33">IFERROR(VLOOKUP($T157,T$143:W$154,2,FALSE),"")</f>
        <v>PASSTIP CombinedFeb-25</v>
      </c>
      <c r="V157" s="37" t="str">
        <f>IFERROR(VLOOKUP($T157,$T$143:$W$154,3,FALSE),"")</f>
        <v>PASS</v>
      </c>
      <c r="W157" s="81">
        <f>IFERROR(VLOOKUP($T157,$T$143:Z$154,4,FALSE),"")</f>
        <v>0.57143557142857138</v>
      </c>
      <c r="X157" s="89" t="str">
        <f>IFERROR(VLOOKUP($T157,$T$143:Z$154,5,FALSE),"")</f>
        <v/>
      </c>
      <c r="Y157" s="89" t="str">
        <f>IFERROR(VLOOKUP($T157,$T$143:Z$154,6,FALSE),"")</f>
        <v/>
      </c>
      <c r="Z157" s="82"/>
    </row>
    <row r="158" spans="4:26" x14ac:dyDescent="0.3">
      <c r="D158" s="79">
        <v>2</v>
      </c>
      <c r="E158" s="37" t="str">
        <f t="shared" si="30"/>
        <v>MBI HSTIP CombinedFeb-25</v>
      </c>
      <c r="F158" s="37" t="str">
        <f>IFERROR(VLOOKUP($D158,$D$144:G$154,3,FALSE),"")</f>
        <v>MBI</v>
      </c>
      <c r="G158" s="81">
        <f>IFERROR(VLOOKUP($D158,$D$144:J$154,4,FALSE),"")</f>
        <v>0.48750599999999999</v>
      </c>
      <c r="H158" s="89" t="str">
        <f>IFERROR(VLOOKUP($D158,$D$144:K$154,5,FALSE),"")</f>
        <v/>
      </c>
      <c r="I158" s="89" t="str">
        <f>IFERROR(VLOOKUP($D158,$D$144:L$154,6,FALSE),"")</f>
        <v/>
      </c>
      <c r="J158" s="82"/>
      <c r="K158" s="8"/>
      <c r="L158" s="79">
        <v>2</v>
      </c>
      <c r="M158" s="37" t="str">
        <f t="shared" si="31"/>
        <v>LESTIP CombinedFeb-25</v>
      </c>
      <c r="N158" s="37" t="str">
        <f t="shared" si="32"/>
        <v>LES</v>
      </c>
      <c r="O158" s="81">
        <f>IFERROR(VLOOKUP($L158,$L$142:R$154,4,FALSE),"")</f>
        <v>1.000005</v>
      </c>
      <c r="P158" s="95">
        <f>IFERROR(VLOOKUP($L158,$L$144:Q$153,5,FALSE),"")</f>
        <v>2.5000010000000001</v>
      </c>
      <c r="Q158" s="95">
        <f>IFERROR(VLOOKUP($L158,$L$143:R$154,6,FALSE),"")</f>
        <v>2.5000010000000001</v>
      </c>
      <c r="R158" s="82"/>
      <c r="T158" s="79">
        <v>2</v>
      </c>
      <c r="U158" s="37" t="str">
        <f t="shared" si="33"/>
        <v>Wayne PlaceTIP CombinedFeb-25</v>
      </c>
      <c r="V158" s="37" t="str">
        <f t="shared" ref="V158:V167" si="34">IFERROR(VLOOKUP($T158,$T$143:$W$154,3,FALSE),"")</f>
        <v>WP</v>
      </c>
      <c r="W158" s="81">
        <f>IFERROR(VLOOKUP($T158,$T$143:Z$154,4,FALSE),"")</f>
        <v>1.1E-5</v>
      </c>
      <c r="X158" s="89" t="str">
        <f>IFERROR(VLOOKUP($T158,$T$143:Z$154,5,FALSE),"")</f>
        <v/>
      </c>
      <c r="Y158" s="89" t="str">
        <f>IFERROR(VLOOKUP($T158,$T$143:Z$154,6,FALSE),"")</f>
        <v/>
      </c>
      <c r="Z158" s="82"/>
    </row>
    <row r="159" spans="4:26" x14ac:dyDescent="0.3">
      <c r="D159" s="79">
        <v>3</v>
      </c>
      <c r="E159" s="37" t="str">
        <f t="shared" si="30"/>
        <v>UmbrellaTIP CombinedFeb-25</v>
      </c>
      <c r="F159" s="37" t="str">
        <f>IFERROR(VLOOKUP($D159,$D$144:G$154,3,FALSE),"")</f>
        <v>UTS</v>
      </c>
      <c r="G159" s="81">
        <f>IFERROR(VLOOKUP($D159,$D$144:J$154,4,FALSE),"")</f>
        <v>0.48485748484848484</v>
      </c>
      <c r="H159" s="89" t="str">
        <f>IFERROR(VLOOKUP($D159,$D$144:K$154,5,FALSE),"")</f>
        <v/>
      </c>
      <c r="I159" s="89" t="str">
        <f>IFERROR(VLOOKUP($D159,$D$144:L$154,6,FALSE),"")</f>
        <v/>
      </c>
      <c r="J159" s="82"/>
      <c r="K159" s="8"/>
      <c r="L159" s="79">
        <v>3</v>
      </c>
      <c r="M159" s="37" t="str">
        <f t="shared" si="31"/>
        <v>PASSTIP CombinedFeb-25</v>
      </c>
      <c r="N159" s="37" t="str">
        <f t="shared" si="32"/>
        <v>PASS</v>
      </c>
      <c r="O159" s="81">
        <f>IFERROR(VLOOKUP($L159,$L$142:R$154,4,FALSE),"")</f>
        <v>0.87500699999999998</v>
      </c>
      <c r="P159" s="95">
        <f>IFERROR(VLOOKUP($L159,$L$144:Q$153,5,FALSE),"")</f>
        <v>7.0000010000000001</v>
      </c>
      <c r="Q159" s="95">
        <f>IFERROR(VLOOKUP($L159,$L$143:R$154,6,FALSE),"")</f>
        <v>8.0000009999999993</v>
      </c>
      <c r="R159" s="82"/>
      <c r="T159" s="79">
        <v>3</v>
      </c>
      <c r="U159" s="37" t="str">
        <f t="shared" si="33"/>
        <v>UniversalTIP CombinedFeb-25</v>
      </c>
      <c r="V159" s="37" t="str">
        <f t="shared" si="34"/>
        <v>*Uni</v>
      </c>
      <c r="W159" s="81">
        <f>IFERROR(VLOOKUP($T159,$T$143:Z$154,4,FALSE),"")</f>
        <v>1.0000000000000001E-5</v>
      </c>
      <c r="X159" s="89" t="str">
        <f>IFERROR(VLOOKUP($T159,$T$143:Z$154,5,FALSE),"")</f>
        <v/>
      </c>
      <c r="Y159" s="89" t="str">
        <f>IFERROR(VLOOKUP($T159,$T$143:Z$154,6,FALSE),"")</f>
        <v/>
      </c>
      <c r="Z159" s="82"/>
    </row>
    <row r="160" spans="4:26" x14ac:dyDescent="0.3">
      <c r="D160" s="79">
        <v>4</v>
      </c>
      <c r="E160" s="37" t="str">
        <f t="shared" si="30"/>
        <v>Wayne PlaceTIP CombinedFeb-25</v>
      </c>
      <c r="F160" s="37" t="str">
        <f>IFERROR(VLOOKUP($D160,$D$144:G$154,3,FALSE),"")</f>
        <v>WP</v>
      </c>
      <c r="G160" s="81">
        <f>IFERROR(VLOOKUP($D160,$D$144:J$154,4,FALSE),"")</f>
        <v>0.36364736363636363</v>
      </c>
      <c r="H160" s="89" t="str">
        <f>IFERROR(VLOOKUP($D160,$D$144:K$154,5,FALSE),"")</f>
        <v/>
      </c>
      <c r="I160" s="89" t="str">
        <f>IFERROR(VLOOKUP($D160,$D$144:L$154,6,FALSE),"")</f>
        <v/>
      </c>
      <c r="J160" s="82"/>
      <c r="K160" s="8"/>
      <c r="L160" s="79">
        <v>4</v>
      </c>
      <c r="M160" s="37" t="str">
        <f t="shared" si="31"/>
        <v>MBI HSTIP CombinedFeb-25</v>
      </c>
      <c r="N160" s="37" t="str">
        <f t="shared" si="32"/>
        <v>MBI</v>
      </c>
      <c r="O160" s="81">
        <f>IFERROR(VLOOKUP($L160,$L$142:R$154,4,FALSE),"")</f>
        <v>0.77778377777777774</v>
      </c>
      <c r="P160" s="95">
        <f>IFERROR(VLOOKUP($L160,$L$144:Q$153,5,FALSE),"")</f>
        <v>7.0000010000000001</v>
      </c>
      <c r="Q160" s="95">
        <f>IFERROR(VLOOKUP($L160,$L$143:R$154,6,FALSE),"")</f>
        <v>9.0000009999999993</v>
      </c>
      <c r="R160" s="82"/>
      <c r="T160" s="79">
        <v>4</v>
      </c>
      <c r="U160" s="37" t="str">
        <f t="shared" si="33"/>
        <v>UmbrellaTIP CombinedFeb-25</v>
      </c>
      <c r="V160" s="37" t="str">
        <f t="shared" si="34"/>
        <v>UTS</v>
      </c>
      <c r="W160" s="81">
        <f>IFERROR(VLOOKUP($T160,$T$143:Z$154,4,FALSE),"")</f>
        <v>9.0000000000000002E-6</v>
      </c>
      <c r="X160" s="89" t="str">
        <f>IFERROR(VLOOKUP($T160,$T$143:Z$154,5,FALSE),"")</f>
        <v/>
      </c>
      <c r="Y160" s="89" t="str">
        <f>IFERROR(VLOOKUP($T160,$T$143:Z$154,6,FALSE),"")</f>
        <v/>
      </c>
      <c r="Z160" s="82"/>
    </row>
    <row r="161" spans="4:26" x14ac:dyDescent="0.3">
      <c r="D161" s="79">
        <v>5</v>
      </c>
      <c r="E161" s="37" t="str">
        <f t="shared" si="30"/>
        <v>LESTIP CombinedFeb-25</v>
      </c>
      <c r="F161" s="37" t="str">
        <f>IFERROR(VLOOKUP($D161,$D$144:G$154,3,FALSE),"")</f>
        <v>LES</v>
      </c>
      <c r="G161" s="81">
        <f>IFERROR(VLOOKUP($D161,$D$144:J$154,4,FALSE),"")</f>
        <v>0.31429071428571426</v>
      </c>
      <c r="H161" s="89" t="str">
        <f>IFERROR(VLOOKUP($D161,$D$144:K$154,5,FALSE),"")</f>
        <v/>
      </c>
      <c r="I161" s="89" t="str">
        <f>IFERROR(VLOOKUP($D161,$D$144:L$154,6,FALSE),"")</f>
        <v/>
      </c>
      <c r="J161" s="82"/>
      <c r="K161" s="8"/>
      <c r="L161" s="79">
        <v>5</v>
      </c>
      <c r="M161" s="37" t="str">
        <f t="shared" si="31"/>
        <v>Wayne PlaceTIP CombinedFeb-25</v>
      </c>
      <c r="N161" s="37" t="str">
        <f t="shared" si="32"/>
        <v>WP</v>
      </c>
      <c r="O161" s="81">
        <f>IFERROR(VLOOKUP($L161,$L$142:R$154,4,FALSE),"")</f>
        <v>0.66667766666666661</v>
      </c>
      <c r="P161" s="95" t="str">
        <f>IFERROR(VLOOKUP($L161,$L$144:Q$153,5,FALSE),"")</f>
        <v/>
      </c>
      <c r="Q161" s="95">
        <f>IFERROR(VLOOKUP($L161,$L$143:R$154,6,FALSE),"")</f>
        <v>3.0000010000000001</v>
      </c>
      <c r="R161" s="82"/>
      <c r="T161" s="79">
        <v>5</v>
      </c>
      <c r="U161" s="37" t="str">
        <f t="shared" si="33"/>
        <v>TFCCTIP CombinedFeb-25</v>
      </c>
      <c r="V161" s="37" t="str">
        <f t="shared" si="34"/>
        <v>*TFCC</v>
      </c>
      <c r="W161" s="81">
        <f>IFERROR(VLOOKUP($T161,$T$143:Z$154,4,FALSE),"")</f>
        <v>7.9999999999999996E-6</v>
      </c>
      <c r="X161" s="89" t="str">
        <f>IFERROR(VLOOKUP($T161,$T$143:Z$154,5,FALSE),"")</f>
        <v/>
      </c>
      <c r="Y161" s="89" t="str">
        <f>IFERROR(VLOOKUP($T161,$T$143:Z$154,6,FALSE),"")</f>
        <v/>
      </c>
      <c r="Z161" s="82"/>
    </row>
    <row r="162" spans="4:26" x14ac:dyDescent="0.3">
      <c r="D162" s="79">
        <v>6</v>
      </c>
      <c r="E162" s="37" t="str">
        <f t="shared" si="30"/>
        <v>UniversalTIP CombinedFeb-25</v>
      </c>
      <c r="F162" s="37" t="str">
        <f>IFERROR(VLOOKUP($D162,$D$144:G$154,3,FALSE),"")</f>
        <v>*Uni</v>
      </c>
      <c r="G162" s="81">
        <f>IFERROR(VLOOKUP($D162,$D$144:J$154,4,FALSE),"")</f>
        <v>1.0000000000000001E-5</v>
      </c>
      <c r="H162" s="89" t="str">
        <f>IFERROR(VLOOKUP($D162,$D$144:K$154,5,FALSE),"")</f>
        <v/>
      </c>
      <c r="I162" s="89" t="str">
        <f>IFERROR(VLOOKUP($D162,$D$144:L$154,6,FALSE),"")</f>
        <v/>
      </c>
      <c r="J162" s="82"/>
      <c r="K162" s="8"/>
      <c r="L162" s="79">
        <v>6</v>
      </c>
      <c r="M162" s="37" t="str">
        <f t="shared" si="31"/>
        <v>UniversalTIP CombinedFeb-25</v>
      </c>
      <c r="N162" s="37" t="str">
        <f t="shared" si="32"/>
        <v>*Uni</v>
      </c>
      <c r="O162" s="81">
        <f>IFERROR(VLOOKUP($L162,$L$142:R$154,4,FALSE),"")</f>
        <v>1.0000000000000001E-5</v>
      </c>
      <c r="P162" s="95">
        <f>IFERROR(VLOOKUP($L162,$L$144:Q$153,5,FALSE),"")</f>
        <v>2.0000010000000001</v>
      </c>
      <c r="Q162" s="95">
        <f>IFERROR(VLOOKUP($L162,$L$143:R$154,6,FALSE),"")</f>
        <v>3.0000010000000001</v>
      </c>
      <c r="R162" s="82"/>
      <c r="T162" s="79">
        <v>6</v>
      </c>
      <c r="U162" s="37" t="str">
        <f t="shared" si="33"/>
        <v>MBI HSTIP CombinedFeb-25</v>
      </c>
      <c r="V162" s="37" t="str">
        <f t="shared" si="34"/>
        <v>MBI</v>
      </c>
      <c r="W162" s="81">
        <f>IFERROR(VLOOKUP($T162,$T$143:Z$154,4,FALSE),"")</f>
        <v>6.0000000000000002E-6</v>
      </c>
      <c r="X162" s="89" t="str">
        <f>IFERROR(VLOOKUP($T162,$T$143:Z$154,5,FALSE),"")</f>
        <v/>
      </c>
      <c r="Y162" s="89" t="str">
        <f>IFERROR(VLOOKUP($T162,$T$143:Z$154,6,FALSE),"")</f>
        <v/>
      </c>
      <c r="Z162" s="82"/>
    </row>
    <row r="163" spans="4:26" x14ac:dyDescent="0.3">
      <c r="D163" s="79">
        <v>7</v>
      </c>
      <c r="E163" s="37" t="str">
        <f t="shared" si="30"/>
        <v>TFCCTIP CombinedFeb-25</v>
      </c>
      <c r="F163" s="37" t="str">
        <f>IFERROR(VLOOKUP($D163,$D$144:G$154,3,FALSE),"")</f>
        <v>*TFCC</v>
      </c>
      <c r="G163" s="81">
        <f>IFERROR(VLOOKUP($D163,$D$144:J$154,4,FALSE),"")</f>
        <v>7.9999999999999996E-6</v>
      </c>
      <c r="H163" s="89" t="str">
        <f>IFERROR(VLOOKUP($D163,$D$144:K$154,5,FALSE),"")</f>
        <v/>
      </c>
      <c r="I163" s="89" t="str">
        <f>IFERROR(VLOOKUP($D163,$D$144:L$154,6,FALSE),"")</f>
        <v/>
      </c>
      <c r="J163" s="82"/>
      <c r="K163" s="8"/>
      <c r="L163" s="79">
        <v>7</v>
      </c>
      <c r="M163" s="37" t="str">
        <f t="shared" si="31"/>
        <v>TFCCTIP CombinedFeb-25</v>
      </c>
      <c r="N163" s="37" t="str">
        <f t="shared" si="32"/>
        <v>*TFCC</v>
      </c>
      <c r="O163" s="81">
        <f>IFERROR(VLOOKUP($L163,$L$142:R$154,4,FALSE),"")</f>
        <v>7.9999999999999996E-6</v>
      </c>
      <c r="P163" s="95" t="str">
        <f>IFERROR(VLOOKUP($L163,$L$144:Q$153,5,FALSE),"")</f>
        <v/>
      </c>
      <c r="Q163" s="95" t="str">
        <f>IFERROR(VLOOKUP($L163,$L$143:R$154,6,FALSE),"")</f>
        <v/>
      </c>
      <c r="R163" s="82"/>
      <c r="T163" s="79">
        <v>7</v>
      </c>
      <c r="U163" s="37" t="str">
        <f t="shared" si="33"/>
        <v>LESTIP CombinedFeb-25</v>
      </c>
      <c r="V163" s="37" t="str">
        <f t="shared" si="34"/>
        <v>LES</v>
      </c>
      <c r="W163" s="81">
        <f>IFERROR(VLOOKUP($T163,$T$143:Z$154,4,FALSE),"")</f>
        <v>5.0000000000000004E-6</v>
      </c>
      <c r="X163" s="89" t="str">
        <f>IFERROR(VLOOKUP($T163,$T$143:Z$154,5,FALSE),"")</f>
        <v/>
      </c>
      <c r="Y163" s="89" t="str">
        <f>IFERROR(VLOOKUP($T163,$T$143:Z$154,6,FALSE),"")</f>
        <v/>
      </c>
      <c r="Z163" s="82"/>
    </row>
    <row r="164" spans="4:26" x14ac:dyDescent="0.3">
      <c r="D164" s="79">
        <v>8</v>
      </c>
      <c r="E164" s="37" t="str">
        <f t="shared" si="30"/>
        <v>Green DoorTIP CombinedFeb-25</v>
      </c>
      <c r="F164" s="37" t="str">
        <f>IFERROR(VLOOKUP($D164,$D$144:G$154,3,FALSE),"")</f>
        <v>*GD</v>
      </c>
      <c r="G164" s="81">
        <f>IFERROR(VLOOKUP($D164,$D$144:J$154,4,FALSE),"")</f>
        <v>3.9999999999999998E-6</v>
      </c>
      <c r="H164" s="89" t="str">
        <f>IFERROR(VLOOKUP($D164,$D$144:K$154,5,FALSE),"")</f>
        <v/>
      </c>
      <c r="I164" s="89" t="str">
        <f>IFERROR(VLOOKUP($D164,$D$144:L$154,6,FALSE),"")</f>
        <v/>
      </c>
      <c r="J164" s="82"/>
      <c r="K164" s="8"/>
      <c r="L164" s="79">
        <v>8</v>
      </c>
      <c r="M164" s="37" t="str">
        <f t="shared" si="31"/>
        <v>Green DoorTIP CombinedFeb-25</v>
      </c>
      <c r="N164" s="37" t="str">
        <f t="shared" si="32"/>
        <v>*GD</v>
      </c>
      <c r="O164" s="81">
        <f>IFERROR(VLOOKUP($L164,$L$142:R$154,4,FALSE),"")</f>
        <v>3.9999999999999998E-6</v>
      </c>
      <c r="P164" s="95" t="str">
        <f>IFERROR(VLOOKUP($L164,$L$144:Q$153,5,FALSE),"")</f>
        <v/>
      </c>
      <c r="Q164" s="95" t="str">
        <f>IFERROR(VLOOKUP($L164,$L$143:R$154,6,FALSE),"")</f>
        <v/>
      </c>
      <c r="R164" s="82"/>
      <c r="T164" s="79">
        <v>8</v>
      </c>
      <c r="U164" s="37" t="str">
        <f t="shared" si="33"/>
        <v>Green DoorTIP CombinedFeb-25</v>
      </c>
      <c r="V164" s="37" t="str">
        <f t="shared" si="34"/>
        <v>*GD</v>
      </c>
      <c r="W164" s="81">
        <f>IFERROR(VLOOKUP($T164,$T$143:Z$154,4,FALSE),"")</f>
        <v>3.9999999999999998E-6</v>
      </c>
      <c r="X164" s="89" t="str">
        <f>IFERROR(VLOOKUP($T164,$T$143:Z$154,5,FALSE),"")</f>
        <v/>
      </c>
      <c r="Y164" s="89" t="str">
        <f>IFERROR(VLOOKUP($T164,$T$143:Z$154,6,FALSE),"")</f>
        <v/>
      </c>
      <c r="Z164" s="82"/>
    </row>
    <row r="165" spans="4:26" x14ac:dyDescent="0.3">
      <c r="D165" s="79">
        <v>9</v>
      </c>
      <c r="E165" s="37" t="str">
        <f t="shared" si="30"/>
        <v>FPSTIP CombinedFeb-25</v>
      </c>
      <c r="F165" s="37" t="str">
        <f>IFERROR(VLOOKUP($D165,$D$144:G$154,3,FALSE),"")</f>
        <v>*FPS</v>
      </c>
      <c r="G165" s="81">
        <f>IFERROR(VLOOKUP($D165,$D$144:J$154,4,FALSE),"")</f>
        <v>3.0000000000000001E-6</v>
      </c>
      <c r="H165" s="89" t="str">
        <f>IFERROR(VLOOKUP($D165,$D$144:K$154,5,FALSE),"")</f>
        <v/>
      </c>
      <c r="I165" s="89" t="str">
        <f>IFERROR(VLOOKUP($D165,$D$144:L$154,6,FALSE),"")</f>
        <v/>
      </c>
      <c r="J165" s="82"/>
      <c r="K165" s="8"/>
      <c r="L165" s="79">
        <v>9</v>
      </c>
      <c r="M165" s="37" t="str">
        <f t="shared" si="31"/>
        <v>FPSTIP CombinedFeb-25</v>
      </c>
      <c r="N165" s="37" t="str">
        <f t="shared" si="32"/>
        <v>*FPS</v>
      </c>
      <c r="O165" s="81">
        <f>IFERROR(VLOOKUP($L165,$L$142:R$154,4,FALSE),"")</f>
        <v>3.0000000000000001E-6</v>
      </c>
      <c r="P165" s="95" t="str">
        <f>IFERROR(VLOOKUP($L165,$L$144:Q$153,5,FALSE),"")</f>
        <v/>
      </c>
      <c r="Q165" s="95" t="str">
        <f>IFERROR(VLOOKUP($L165,$L$143:R$154,6,FALSE),"")</f>
        <v/>
      </c>
      <c r="R165" s="82"/>
      <c r="T165" s="79">
        <v>9</v>
      </c>
      <c r="U165" s="37" t="str">
        <f t="shared" si="33"/>
        <v>FPSTIP CombinedFeb-25</v>
      </c>
      <c r="V165" s="37" t="str">
        <f t="shared" si="34"/>
        <v>*FPS</v>
      </c>
      <c r="W165" s="81">
        <f>IFERROR(VLOOKUP($T165,$T$143:Z$154,4,FALSE),"")</f>
        <v>3.0000000000000001E-6</v>
      </c>
      <c r="X165" s="89" t="str">
        <f>IFERROR(VLOOKUP($T165,$T$143:Z$154,5,FALSE),"")</f>
        <v/>
      </c>
      <c r="Y165" s="89" t="str">
        <f>IFERROR(VLOOKUP($T165,$T$143:Z$154,6,FALSE),"")</f>
        <v/>
      </c>
      <c r="Z165" s="82"/>
    </row>
    <row r="166" spans="4:26" x14ac:dyDescent="0.3">
      <c r="D166" s="79">
        <v>10</v>
      </c>
      <c r="E166" s="37" t="str">
        <f t="shared" si="30"/>
        <v>ContemporaryTIP CombinedFeb-25</v>
      </c>
      <c r="F166" s="37" t="str">
        <f>IFERROR(VLOOKUP($D166,$D$144:G$154,3,FALSE),"")</f>
        <v>*Cont</v>
      </c>
      <c r="G166" s="81">
        <f>IFERROR(VLOOKUP($D166,$D$144:J$154,4,FALSE),"")</f>
        <v>1.9999999999999999E-6</v>
      </c>
      <c r="H166" s="89" t="str">
        <f>IFERROR(VLOOKUP($D166,$D$144:K$154,5,FALSE),"")</f>
        <v/>
      </c>
      <c r="I166" s="89" t="str">
        <f>IFERROR(VLOOKUP($D166,$D$144:L$154,6,FALSE),"")</f>
        <v/>
      </c>
      <c r="J166" s="82"/>
      <c r="K166" s="8"/>
      <c r="L166" s="79">
        <v>10</v>
      </c>
      <c r="M166" s="37" t="str">
        <f t="shared" si="31"/>
        <v>ContemporaryTIP CombinedFeb-25</v>
      </c>
      <c r="N166" s="37" t="str">
        <f t="shared" si="32"/>
        <v>*Cont</v>
      </c>
      <c r="O166" s="81">
        <f>IFERROR(VLOOKUP($L166,$L$142:R$154,4,FALSE),"")</f>
        <v>1.9999999999999999E-6</v>
      </c>
      <c r="P166" s="95" t="str">
        <f>IFERROR(VLOOKUP($L166,$L$144:Q$153,5,FALSE),"")</f>
        <v/>
      </c>
      <c r="Q166" s="95" t="str">
        <f>IFERROR(VLOOKUP($L166,$L$143:R$154,6,FALSE),"")</f>
        <v/>
      </c>
      <c r="R166" s="82"/>
      <c r="T166" s="79">
        <v>10</v>
      </c>
      <c r="U166" s="37" t="str">
        <f t="shared" si="33"/>
        <v>ContemporaryTIP CombinedFeb-25</v>
      </c>
      <c r="V166" s="37" t="str">
        <f t="shared" si="34"/>
        <v>*Cont</v>
      </c>
      <c r="W166" s="81">
        <f>IFERROR(VLOOKUP($T166,$T$143:Z$154,4,FALSE),"")</f>
        <v>1.9999999999999999E-6</v>
      </c>
      <c r="X166" s="89" t="str">
        <f>IFERROR(VLOOKUP($T166,$T$143:Z$154,5,FALSE),"")</f>
        <v/>
      </c>
      <c r="Y166" s="89" t="str">
        <f>IFERROR(VLOOKUP($T166,$T$143:Z$154,6,FALSE),"")</f>
        <v/>
      </c>
      <c r="Z166" s="82"/>
    </row>
    <row r="167" spans="4:26" ht="15" thickBot="1" x14ac:dyDescent="0.35">
      <c r="D167" s="83">
        <v>11</v>
      </c>
      <c r="E167" s="84" t="str">
        <f t="shared" si="30"/>
        <v>Community ConnectionsTIP CombinedFeb-25</v>
      </c>
      <c r="F167" s="84" t="str">
        <f>IFERROR(VLOOKUP($D167,$D$144:G$154,3,FALSE),"")</f>
        <v>CC</v>
      </c>
      <c r="G167" s="85">
        <f>IFERROR(VLOOKUP($D167,$D$144:J$154,4,FALSE),"")</f>
        <v>9.9999999999999995E-7</v>
      </c>
      <c r="H167" s="91" t="str">
        <f>IFERROR(VLOOKUP($D167,$D$144:K$154,5,FALSE),"")</f>
        <v/>
      </c>
      <c r="I167" s="91" t="str">
        <f>IFERROR(VLOOKUP($D167,$D$144:L$154,6,FALSE),"")</f>
        <v/>
      </c>
      <c r="J167" s="86"/>
      <c r="L167" s="83">
        <v>11</v>
      </c>
      <c r="M167" s="84" t="str">
        <f t="shared" si="31"/>
        <v>Community ConnectionsTIP CombinedFeb-25</v>
      </c>
      <c r="N167" s="84" t="str">
        <f t="shared" si="32"/>
        <v>CC</v>
      </c>
      <c r="O167" s="85">
        <f>IFERROR(VLOOKUP($L167,$L$142:R$154,4,FALSE),"")</f>
        <v>9.9999999999999995E-7</v>
      </c>
      <c r="P167" s="96" t="str">
        <f>IFERROR(VLOOKUP($L167,$L$144:Q$153,5,FALSE),"")</f>
        <v/>
      </c>
      <c r="Q167" s="96" t="str">
        <f>IFERROR(VLOOKUP($L167,$L$143:R$154,6,FALSE),"")</f>
        <v/>
      </c>
      <c r="R167" s="86"/>
      <c r="T167" s="83">
        <v>11</v>
      </c>
      <c r="U167" s="84" t="str">
        <f t="shared" si="33"/>
        <v>Community ConnectionsTIP CombinedFeb-25</v>
      </c>
      <c r="V167" s="84" t="str">
        <f t="shared" si="34"/>
        <v>CC</v>
      </c>
      <c r="W167" s="85">
        <f>IFERROR(VLOOKUP($T167,$T$143:Z$154,4,FALSE),"")</f>
        <v>9.9999999999999995E-7</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H37" sqref="H37"/>
    </sheetView>
  </sheetViews>
  <sheetFormatPr defaultColWidth="9.109375" defaultRowHeight="14.4" x14ac:dyDescent="0.3"/>
  <sheetData>
    <row r="1" spans="1:18" x14ac:dyDescent="0.3">
      <c r="A1" s="36"/>
      <c r="B1" s="36"/>
      <c r="C1" s="36"/>
      <c r="D1" s="36"/>
      <c r="E1" s="36"/>
      <c r="F1" s="36"/>
      <c r="G1" s="36"/>
      <c r="H1" s="36"/>
      <c r="I1" s="36"/>
      <c r="J1" s="36"/>
      <c r="K1" s="36"/>
      <c r="L1" s="36"/>
      <c r="M1" s="36"/>
      <c r="N1" s="36"/>
      <c r="O1" s="36"/>
      <c r="P1" s="36"/>
      <c r="Q1" s="36"/>
      <c r="R1" s="36"/>
    </row>
    <row r="2" spans="1:18" ht="25.8" x14ac:dyDescent="0.5">
      <c r="A2" s="278" t="s">
        <v>45460</v>
      </c>
      <c r="B2" s="278"/>
      <c r="C2" s="278"/>
      <c r="D2" s="278"/>
      <c r="E2" s="278"/>
      <c r="F2" s="278"/>
      <c r="G2" s="278"/>
      <c r="H2" s="278"/>
      <c r="I2" s="278"/>
      <c r="J2" s="278"/>
      <c r="K2" s="278"/>
      <c r="L2" s="278"/>
      <c r="M2" s="278"/>
      <c r="N2" s="278"/>
      <c r="O2" s="278"/>
      <c r="P2" s="278"/>
      <c r="Q2" s="278"/>
      <c r="R2" s="278"/>
    </row>
    <row r="3" spans="1:18" ht="25.8" x14ac:dyDescent="0.3">
      <c r="A3" s="279" t="s">
        <v>44576</v>
      </c>
      <c r="B3" s="279"/>
      <c r="C3" s="279"/>
      <c r="D3" s="279"/>
      <c r="E3" s="279"/>
      <c r="F3" s="279"/>
      <c r="G3" s="279"/>
      <c r="H3" s="279"/>
      <c r="I3" s="279"/>
      <c r="J3" s="279"/>
      <c r="K3" s="279"/>
      <c r="L3" s="279"/>
      <c r="M3" s="279"/>
      <c r="N3" s="279"/>
      <c r="O3" s="279"/>
      <c r="P3" s="279"/>
      <c r="Q3" s="279"/>
      <c r="R3" s="279"/>
    </row>
    <row r="4" spans="1:18" ht="25.8" x14ac:dyDescent="0.3">
      <c r="A4" s="88"/>
      <c r="B4" s="88"/>
      <c r="C4" s="88"/>
      <c r="D4" s="88"/>
      <c r="E4" s="88"/>
      <c r="F4" s="88"/>
      <c r="G4" s="88"/>
      <c r="H4" s="88"/>
      <c r="I4" s="88"/>
      <c r="J4" s="88"/>
      <c r="K4" s="88"/>
      <c r="L4" s="88"/>
      <c r="M4" s="88"/>
      <c r="N4" s="88"/>
      <c r="O4" s="88"/>
      <c r="P4" s="88"/>
      <c r="Q4" s="88"/>
      <c r="R4" s="88"/>
    </row>
    <row r="5" spans="1:18" ht="25.8" x14ac:dyDescent="0.3">
      <c r="A5" s="88"/>
      <c r="B5" s="88"/>
      <c r="C5" s="88"/>
      <c r="D5" s="88"/>
      <c r="E5" s="88"/>
      <c r="F5" s="88"/>
      <c r="G5" s="88"/>
      <c r="H5" s="88"/>
      <c r="I5" s="88"/>
      <c r="J5" s="88"/>
      <c r="K5" s="88"/>
      <c r="L5" s="88"/>
      <c r="M5" s="88"/>
      <c r="N5" s="88"/>
      <c r="O5" s="88"/>
      <c r="P5" s="88"/>
      <c r="Q5" s="88"/>
      <c r="R5" s="88"/>
    </row>
    <row r="6" spans="1:18" ht="15" thickBot="1" x14ac:dyDescent="0.35">
      <c r="A6" s="259"/>
      <c r="B6" s="259"/>
      <c r="C6" s="259"/>
      <c r="D6" s="259"/>
      <c r="E6" s="259"/>
      <c r="F6" s="259"/>
      <c r="G6" s="259"/>
      <c r="H6" s="259"/>
      <c r="I6" s="259"/>
      <c r="J6" s="259"/>
      <c r="K6" s="259"/>
      <c r="L6" s="259"/>
      <c r="M6" s="259"/>
      <c r="N6" s="259"/>
      <c r="O6" s="259"/>
      <c r="P6" s="259"/>
      <c r="Q6" s="259"/>
      <c r="R6" s="259"/>
    </row>
    <row r="7" spans="1:18" ht="29.4" thickBot="1" x14ac:dyDescent="0.6">
      <c r="A7" s="280" t="s">
        <v>45461</v>
      </c>
      <c r="B7" s="281"/>
      <c r="C7" s="281"/>
      <c r="D7" s="281"/>
      <c r="E7" s="281"/>
      <c r="F7" s="281"/>
      <c r="G7" s="281"/>
      <c r="H7" s="281"/>
      <c r="I7" s="281"/>
      <c r="J7" s="281"/>
      <c r="K7" s="281"/>
      <c r="L7" s="281"/>
      <c r="M7" s="281"/>
      <c r="N7" s="281"/>
      <c r="O7" s="281"/>
      <c r="P7" s="281"/>
      <c r="Q7" s="281"/>
      <c r="R7" s="282"/>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259"/>
      <c r="B19" s="259"/>
      <c r="C19" s="259"/>
      <c r="D19" s="259"/>
      <c r="E19" s="259"/>
      <c r="F19" s="259"/>
      <c r="G19" s="259"/>
      <c r="H19" s="259"/>
      <c r="I19" s="259"/>
      <c r="J19" s="259"/>
      <c r="K19" s="259"/>
      <c r="L19" s="259"/>
      <c r="M19" s="259"/>
      <c r="N19" s="259"/>
      <c r="O19" s="259"/>
      <c r="P19" s="259"/>
      <c r="Q19" s="259"/>
      <c r="R19" s="259"/>
    </row>
    <row r="20" spans="1:18" ht="29.4" thickBot="1" x14ac:dyDescent="0.35">
      <c r="A20" s="275" t="s">
        <v>44254</v>
      </c>
      <c r="B20" s="276"/>
      <c r="C20" s="276"/>
      <c r="D20" s="276"/>
      <c r="E20" s="276"/>
      <c r="F20" s="276"/>
      <c r="G20" s="276"/>
      <c r="H20" s="276"/>
      <c r="I20" s="276"/>
      <c r="J20" s="276"/>
      <c r="K20" s="276"/>
      <c r="L20" s="276"/>
      <c r="M20" s="276"/>
      <c r="N20" s="276"/>
      <c r="O20" s="276"/>
      <c r="P20" s="276"/>
      <c r="Q20" s="276"/>
      <c r="R20" s="277"/>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36"/>
      <c r="B32" s="36"/>
      <c r="C32" s="36"/>
      <c r="D32" s="36"/>
      <c r="E32" s="36"/>
      <c r="F32" s="36"/>
      <c r="G32" s="36"/>
      <c r="H32" s="36"/>
      <c r="I32" s="36"/>
      <c r="J32" s="36"/>
      <c r="K32" s="36"/>
      <c r="L32" s="36"/>
      <c r="M32" s="36"/>
      <c r="N32" s="36"/>
      <c r="O32" s="36"/>
      <c r="P32" s="36"/>
      <c r="Q32" s="36"/>
      <c r="R32" s="36"/>
    </row>
    <row r="33" spans="1:18" x14ac:dyDescent="0.3">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Holly Duggan</cp:lastModifiedBy>
  <cp:revision/>
  <dcterms:created xsi:type="dcterms:W3CDTF">2012-12-03T17:48:56Z</dcterms:created>
  <dcterms:modified xsi:type="dcterms:W3CDTF">2025-03-26T14:42:06Z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