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Sayles\Agency Wide Activity\IT Technical Info\Website\"/>
    </mc:Choice>
  </mc:AlternateContent>
  <xr:revisionPtr revIDLastSave="0" documentId="8_{7142F3F7-FD1E-416B-BFDA-5D1FCB448A95}" xr6:coauthVersionLast="46" xr6:coauthVersionMax="46" xr10:uidLastSave="{00000000-0000-0000-0000-000000000000}"/>
  <bookViews>
    <workbookView xWindow="-120" yWindow="-120" windowWidth="28800" windowHeight="14655" tabRatio="627" xr2:uid="{00000000-000D-0000-FFFF-FFFF00000000}"/>
  </bookViews>
  <sheets>
    <sheet name="Blank Cost Estimator (Fill in)" sheetId="6" r:id="rId1"/>
    <sheet name="MST Services Fees" sheetId="8" r:id="rId2"/>
    <sheet name="SA Resourc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8" l="1"/>
  <c r="E23" i="8" s="1"/>
  <c r="A22" i="8"/>
  <c r="D22" i="8" s="1"/>
  <c r="C11" i="8"/>
  <c r="C16" i="8" s="1"/>
  <c r="E15" i="8" s="1"/>
  <c r="D10" i="8"/>
  <c r="E10" i="8" s="1"/>
  <c r="C9" i="8"/>
  <c r="E8" i="8"/>
  <c r="E5" i="8"/>
  <c r="E4" i="8"/>
  <c r="E6" i="8" s="1"/>
  <c r="F18" i="8" s="1"/>
  <c r="C18" i="7"/>
  <c r="E18" i="7" s="1"/>
  <c r="E21" i="7" s="1"/>
  <c r="D4" i="7"/>
  <c r="C55" i="6"/>
  <c r="D5" i="7" s="1"/>
  <c r="B57" i="6"/>
  <c r="E9" i="6"/>
  <c r="E10" i="6"/>
  <c r="E11" i="6"/>
  <c r="E12" i="6"/>
  <c r="E20" i="6"/>
  <c r="E5" i="6"/>
  <c r="E13" i="6"/>
  <c r="E18" i="6" s="1"/>
  <c r="D11" i="7" l="1"/>
  <c r="D10" i="7"/>
  <c r="D12" i="7"/>
  <c r="E12" i="7" s="1"/>
  <c r="E15" i="7" s="1"/>
  <c r="D21" i="8"/>
  <c r="E21" i="8" s="1"/>
  <c r="E22" i="8"/>
  <c r="E14" i="6"/>
  <c r="E15" i="6" s="1"/>
  <c r="E11" i="7" l="1"/>
  <c r="E10" i="7"/>
  <c r="F24" i="8"/>
  <c r="E13" i="7" l="1"/>
  <c r="E24" i="7" s="1"/>
  <c r="E21" i="6" s="1"/>
  <c r="F23" i="6" s="1"/>
  <c r="G49" i="6" s="1"/>
  <c r="E14" i="7"/>
  <c r="C56" i="6" l="1"/>
  <c r="C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tc={FDF59B6B-9058-4399-A2F5-C022773BDF10}</author>
    <author>tc={925AA805-53F7-4187-A622-CD35E9E7B610}</author>
  </authors>
  <commentList>
    <comment ref="E19" authorId="0" shapeId="0" xr:uid="{FDF59B6B-9058-4399-A2F5-C022773BDF10}">
      <text>
        <t>[Threaded comment]
Your version of Excel allows you to read this threaded comment; however, any edits to it will get removed if the file is opened in a newer version of Excel. Learn more: https://go.microsoft.com/fwlink/?linkid=870924
Comment:
    Paid by EBA, as indicated for each client</t>
      </text>
    </comment>
    <comment ref="C20" authorId="1" shapeId="0" xr:uid="{925AA805-53F7-4187-A622-CD35E9E7B610}">
      <text>
        <t>[Threaded comment]
Your version of Excel allows you to read this threaded comment; however, any edits to it will get removed if the file is opened in a newer version of Excel. Learn more: https://go.microsoft.com/fwlink/?linkid=870924
Comment:
    Anticipate high variability here, due to COVID</t>
      </text>
    </comment>
  </commentList>
</comments>
</file>

<file path=xl/sharedStrings.xml><?xml version="1.0" encoding="utf-8"?>
<sst xmlns="http://schemas.openxmlformats.org/spreadsheetml/2006/main" count="101" uniqueCount="88">
  <si>
    <t>Personnel</t>
  </si>
  <si>
    <t>Total</t>
  </si>
  <si>
    <t>Subtotal Personnel Expense</t>
  </si>
  <si>
    <t>Rate</t>
  </si>
  <si>
    <t>Blue figures represent items adjustable by MST Agency Applicant</t>
  </si>
  <si>
    <t>Prior to data entry, save this file with a different name.</t>
  </si>
  <si>
    <t>MST Program Cost Estimator - USA &amp; North America</t>
  </si>
  <si>
    <t>Item</t>
  </si>
  <si>
    <t>Quantity</t>
  </si>
  <si>
    <t>Licensing</t>
  </si>
  <si>
    <t>Operational Expense</t>
  </si>
  <si>
    <t>Subtotal Operational Expense</t>
  </si>
  <si>
    <t>Subtotal Salaries</t>
  </si>
  <si>
    <t>Subtotal Licensing</t>
  </si>
  <si>
    <t>Program Development</t>
  </si>
  <si>
    <t>Annual Program Support</t>
  </si>
  <si>
    <t>Plus Travel Trips:</t>
  </si>
  <si>
    <t>Total Agency Expense</t>
  </si>
  <si>
    <t>Subtotal MST Licensing &amp; Support</t>
  </si>
  <si>
    <t>Total Program Expense</t>
  </si>
  <si>
    <t>Cost per Family Served</t>
  </si>
  <si>
    <t># of Therapist Turnovers:</t>
  </si>
  <si>
    <t>Average Caseload \ Therapist:</t>
  </si>
  <si>
    <t>Average Months of Treatment:</t>
  </si>
  <si>
    <t># of Families Treated \ Year:</t>
  </si>
  <si>
    <t>Cost per Family</t>
  </si>
  <si>
    <t>(Recommended 5 - Range 4-6)</t>
  </si>
  <si>
    <t xml:space="preserve">  Program Manager</t>
  </si>
  <si>
    <t xml:space="preserve">  MST Supervisors</t>
  </si>
  <si>
    <t xml:space="preserve">  MST Therapists</t>
  </si>
  <si>
    <t xml:space="preserve">  Admin. Assistant</t>
  </si>
  <si>
    <t xml:space="preserve">  Add-on for Personnel Benefits</t>
  </si>
  <si>
    <t xml:space="preserve">  Add-on for Operational Overhead</t>
  </si>
  <si>
    <t xml:space="preserve">  Local Area Travel Miles</t>
  </si>
  <si>
    <t xml:space="preserve">  Agency License</t>
  </si>
  <si>
    <t xml:space="preserve">  Team License</t>
  </si>
  <si>
    <t>Program Design Calculation Assumptions Data Input &amp; Printout Sheet</t>
  </si>
  <si>
    <t>Print Date:</t>
  </si>
  <si>
    <t xml:space="preserve">   Per Team Support Fee Basis:</t>
  </si>
  <si>
    <t>Client fund @ $100/family</t>
  </si>
  <si>
    <t>Subtotal Optional Expense</t>
  </si>
  <si>
    <t>Supv. Workshop with Travel</t>
  </si>
  <si>
    <t>Employee Repl. with Travel</t>
  </si>
  <si>
    <t>Optional Extra Expense (Travel estimated)</t>
  </si>
  <si>
    <t>Cost per Day @</t>
  </si>
  <si>
    <t>(Cost does not reflect Utilization)</t>
  </si>
  <si>
    <t>(Recommended 4 - Range 3-5)</t>
  </si>
  <si>
    <t>(Recommend minimum 1 per team)</t>
  </si>
  <si>
    <t>(Note: Estimate reflects agency costs but projected income must estimate utilization)</t>
  </si>
  <si>
    <t>May be used to estimate conversion costs for existing teams.</t>
  </si>
  <si>
    <t>Total number of staff serving clients (therapists and, if applicable, Supervisors)</t>
  </si>
  <si>
    <t>Total number of clients served per year (youth/year) by program</t>
  </si>
  <si>
    <t>Estimated proportion of youth receiving full CM protocols*</t>
  </si>
  <si>
    <t>Estimated proportion of youth receiving standard MST substance abuse interventions*</t>
  </si>
  <si>
    <t xml:space="preserve"> </t>
  </si>
  <si>
    <t xml:space="preserve">cost  </t>
  </si>
  <si>
    <t>weeks per client</t>
  </si>
  <si>
    <t># of clients</t>
  </si>
  <si>
    <t>Annual Total</t>
  </si>
  <si>
    <t>Incentive amount per youth receiving full CM protocols</t>
  </si>
  <si>
    <t xml:space="preserve">n/a </t>
  </si>
  <si>
    <t>Home test kits per youth receiving full CM protocols**</t>
  </si>
  <si>
    <t>Home test kits per youth receiving standard MST interventions***</t>
  </si>
  <si>
    <t>Subtotal Client Related Costs</t>
  </si>
  <si>
    <t>Subtotal Client-Related Costs per Youth Receiving Full CM Protocols</t>
  </si>
  <si>
    <t>Subtotal Client-Related Costs for Youth Receiving Standard MST Substance Abuse Interventions</t>
  </si>
  <si>
    <t>#of staff</t>
  </si>
  <si>
    <t>Misc Supplies per therapist (example)</t>
  </si>
  <si>
    <t>e.g. latex gloves, masking tape for faucets, etc.</t>
  </si>
  <si>
    <t>Subtotal Program Level  Costs:</t>
  </si>
  <si>
    <t>Total Annual Estimated Costs:</t>
  </si>
  <si>
    <t>* use local data to estimate, if available</t>
  </si>
  <si>
    <t>**expectation that youth receiving full CM protocols will be tested 3x/wk for budgeting purposes</t>
  </si>
  <si>
    <t>***expectation that these youth will be tested, on avg, 1x/wk</t>
  </si>
  <si>
    <t>Note: home test kits costs are based on average 2014 U.S. prices</t>
  </si>
  <si>
    <t xml:space="preserve">  SA Treatment Resources (see details on separate worksheet)</t>
  </si>
  <si>
    <t>Travel Expense  (estimated cost per trip)</t>
  </si>
  <si>
    <t xml:space="preserve"> Total Training Travel Trips:</t>
  </si>
  <si>
    <t>Plus Booster Travel Trips:</t>
  </si>
  <si>
    <t>Two or more Linked Teams</t>
  </si>
  <si>
    <t>Single Team</t>
  </si>
  <si>
    <t>Revision: 052715</t>
  </si>
  <si>
    <t>MST Services Fees (TO BE PAID BY EBA)</t>
  </si>
  <si>
    <t>MST Project Budget -Substance Abuse Resources (To Be Paid by EBA)</t>
  </si>
  <si>
    <t xml:space="preserve">Number of MST Teams Proposed: </t>
  </si>
  <si>
    <t>Proposed Agency Expenses Per Team</t>
  </si>
  <si>
    <t>Identify Regions: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</si>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</sst>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0.0%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sz val="10"/>
      <color indexed="12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8"/>
      <color indexed="48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b/>
      <i/>
      <u val="doubleAccounting"/>
      <sz val="10"/>
      <name val="Arial"/>
      <family val="2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42" fontId="0" fillId="0" borderId="0" xfId="1" applyNumberFormat="1" applyFont="1"/>
    <xf numFmtId="42" fontId="2" fillId="0" borderId="0" xfId="0" applyNumberFormat="1" applyFont="1"/>
    <xf numFmtId="0" fontId="9" fillId="0" borderId="0" xfId="0" applyFont="1"/>
    <xf numFmtId="42" fontId="0" fillId="0" borderId="0" xfId="0" applyNumberFormat="1"/>
    <xf numFmtId="0" fontId="9" fillId="0" borderId="0" xfId="0" applyFont="1" applyAlignment="1">
      <alignment horizontal="center"/>
    </xf>
    <xf numFmtId="42" fontId="11" fillId="0" borderId="0" xfId="0" applyNumberFormat="1" applyFont="1"/>
    <xf numFmtId="42" fontId="12" fillId="0" borderId="0" xfId="1" applyNumberFormat="1" applyFont="1"/>
    <xf numFmtId="9" fontId="12" fillId="0" borderId="0" xfId="0" applyNumberFormat="1" applyFont="1"/>
    <xf numFmtId="42" fontId="13" fillId="0" borderId="0" xfId="0" applyNumberFormat="1" applyFont="1"/>
    <xf numFmtId="14" fontId="6" fillId="0" borderId="0" xfId="0" applyNumberFormat="1" applyFont="1" applyAlignment="1">
      <alignment horizontal="center"/>
    </xf>
    <xf numFmtId="0" fontId="15" fillId="0" borderId="0" xfId="0" applyFont="1"/>
    <xf numFmtId="42" fontId="14" fillId="0" borderId="0" xfId="1" applyNumberFormat="1" applyFont="1"/>
    <xf numFmtId="42" fontId="11" fillId="0" borderId="0" xfId="1" applyNumberFormat="1" applyFont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5" fontId="0" fillId="0" borderId="0" xfId="4" applyNumberFormat="1" applyFont="1" applyAlignment="1">
      <alignment horizontal="center"/>
    </xf>
    <xf numFmtId="166" fontId="12" fillId="0" borderId="0" xfId="1" applyNumberFormat="1" applyFont="1"/>
    <xf numFmtId="167" fontId="12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right"/>
    </xf>
    <xf numFmtId="44" fontId="18" fillId="0" borderId="0" xfId="1" applyNumberFormat="1" applyFont="1"/>
    <xf numFmtId="42" fontId="19" fillId="0" borderId="0" xfId="0" applyNumberFormat="1" applyFont="1"/>
    <xf numFmtId="42" fontId="20" fillId="0" borderId="0" xfId="0" applyNumberFormat="1" applyFont="1"/>
    <xf numFmtId="0" fontId="21" fillId="2" borderId="0" xfId="0" applyFont="1" applyFill="1"/>
    <xf numFmtId="0" fontId="22" fillId="2" borderId="0" xfId="0" applyFont="1" applyFill="1"/>
    <xf numFmtId="0" fontId="17" fillId="2" borderId="0" xfId="0" applyFont="1" applyFill="1"/>
    <xf numFmtId="0" fontId="22" fillId="2" borderId="0" xfId="0" applyFont="1" applyFill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>
      <alignment horizontal="center"/>
    </xf>
    <xf numFmtId="42" fontId="17" fillId="2" borderId="0" xfId="1" applyNumberFormat="1" applyFont="1" applyFill="1"/>
    <xf numFmtId="42" fontId="18" fillId="2" borderId="0" xfId="1" applyNumberFormat="1" applyFont="1" applyFill="1"/>
    <xf numFmtId="0" fontId="17" fillId="2" borderId="0" xfId="0" applyFont="1" applyFill="1" applyAlignment="1">
      <alignment horizontal="center"/>
    </xf>
    <xf numFmtId="42" fontId="23" fillId="2" borderId="0" xfId="0" applyNumberFormat="1" applyFont="1" applyFill="1"/>
    <xf numFmtId="42" fontId="19" fillId="2" borderId="0" xfId="1" applyNumberFormat="1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42" fontId="24" fillId="2" borderId="0" xfId="1" applyNumberFormat="1" applyFont="1" applyFill="1"/>
    <xf numFmtId="42" fontId="20" fillId="2" borderId="0" xfId="0" applyNumberFormat="1" applyFont="1" applyFill="1"/>
    <xf numFmtId="0" fontId="24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42" fontId="17" fillId="2" borderId="0" xfId="0" applyNumberFormat="1" applyFont="1" applyFill="1"/>
    <xf numFmtId="0" fontId="27" fillId="2" borderId="0" xfId="0" applyFont="1" applyFill="1" applyBorder="1"/>
    <xf numFmtId="0" fontId="17" fillId="2" borderId="0" xfId="0" applyFont="1" applyFill="1" applyBorder="1"/>
    <xf numFmtId="1" fontId="17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/>
    <xf numFmtId="164" fontId="23" fillId="2" borderId="0" xfId="0" applyNumberFormat="1" applyFont="1" applyFill="1" applyBorder="1"/>
    <xf numFmtId="0" fontId="23" fillId="2" borderId="0" xfId="0" applyFont="1" applyFill="1" applyBorder="1"/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indent="1"/>
    </xf>
    <xf numFmtId="9" fontId="28" fillId="2" borderId="2" xfId="2" applyFont="1" applyFill="1" applyBorder="1" applyAlignment="1">
      <alignment horizontal="center"/>
    </xf>
    <xf numFmtId="9" fontId="28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wrapText="1"/>
    </xf>
    <xf numFmtId="164" fontId="28" fillId="2" borderId="2" xfId="0" applyNumberFormat="1" applyFont="1" applyFill="1" applyBorder="1" applyAlignment="1">
      <alignment horizontal="center"/>
    </xf>
    <xf numFmtId="1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/>
    <xf numFmtId="0" fontId="28" fillId="2" borderId="2" xfId="0" applyFont="1" applyFill="1" applyBorder="1" applyAlignment="1">
      <alignment horizontal="center"/>
    </xf>
    <xf numFmtId="0" fontId="29" fillId="2" borderId="2" xfId="0" applyFont="1" applyFill="1" applyBorder="1"/>
    <xf numFmtId="164" fontId="29" fillId="2" borderId="2" xfId="0" applyNumberFormat="1" applyFont="1" applyFill="1" applyBorder="1" applyAlignment="1">
      <alignment horizontal="right"/>
    </xf>
    <xf numFmtId="0" fontId="29" fillId="2" borderId="2" xfId="0" applyFont="1" applyFill="1" applyBorder="1" applyAlignment="1">
      <alignment horizontal="right"/>
    </xf>
    <xf numFmtId="164" fontId="23" fillId="2" borderId="2" xfId="0" applyNumberFormat="1" applyFont="1" applyFill="1" applyBorder="1"/>
    <xf numFmtId="7" fontId="28" fillId="2" borderId="2" xfId="3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indent="2"/>
    </xf>
    <xf numFmtId="0" fontId="23" fillId="2" borderId="2" xfId="0" applyFont="1" applyFill="1" applyBorder="1" applyAlignment="1">
      <alignment horizontal="right"/>
    </xf>
    <xf numFmtId="164" fontId="31" fillId="2" borderId="2" xfId="0" applyNumberFormat="1" applyFont="1" applyFill="1" applyBorder="1"/>
    <xf numFmtId="0" fontId="9" fillId="3" borderId="0" xfId="0" applyFont="1" applyFill="1"/>
    <xf numFmtId="42" fontId="4" fillId="0" borderId="0" xfId="1" applyNumberFormat="1" applyFont="1"/>
    <xf numFmtId="164" fontId="30" fillId="2" borderId="2" xfId="0" applyNumberFormat="1" applyFont="1" applyFill="1" applyBorder="1" applyAlignment="1">
      <alignment horizontal="right"/>
    </xf>
    <xf numFmtId="0" fontId="30" fillId="2" borderId="2" xfId="0" applyFont="1" applyFill="1" applyBorder="1" applyAlignment="1"/>
    <xf numFmtId="0" fontId="30" fillId="2" borderId="2" xfId="0" applyFont="1" applyFill="1" applyBorder="1" applyAlignment="1">
      <alignment horizontal="right"/>
    </xf>
  </cellXfs>
  <cellStyles count="5">
    <cellStyle name="Comma" xfId="4" builtinId="3"/>
    <cellStyle name="Currency" xfId="1" builtinId="4"/>
    <cellStyle name="Currency 2" xfId="3" xr:uid="{00000000-0005-0000-0000-000002000000}"/>
    <cellStyle name="Normal" xfId="0" builtinId="0"/>
    <cellStyle name="Percent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2</xdr:col>
      <xdr:colOff>1008810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279951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 Edwards" id="{BACA02BF-B27D-403C-A251-72DAFFF2BD8E}" userId="S::dedwards@ebanetwork.com::0b786aa1-4724-422c-8604-d7f1f70fef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9" dT="2021-09-15T17:40:23.09" personId="{BACA02BF-B27D-403C-A251-72DAFFF2BD8E}" id="{FDF59B6B-9058-4399-A2F5-C022773BDF10}">
    <text>Paid by EBA, as indicated for each client</text>
  </threadedComment>
  <threadedComment ref="C20" dT="2021-09-15T13:25:34.90" personId="{BACA02BF-B27D-403C-A251-72DAFFF2BD8E}" id="{925AA805-53F7-4187-A622-CD35E9E7B610}">
    <text>Anticipate high variability here,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zoomScale="85" zoomScaleNormal="85" workbookViewId="0">
      <selection activeCell="P21" sqref="P21"/>
    </sheetView>
  </sheetViews>
  <sheetFormatPr defaultRowHeight="12.75" x14ac:dyDescent="0.2"/>
  <cols>
    <col min="1" max="1" width="17.85546875" customWidth="1"/>
    <col min="2" max="2" width="11.7109375" customWidth="1"/>
    <col min="3" max="3" width="15.140625" customWidth="1"/>
    <col min="4" max="4" width="13.7109375" customWidth="1"/>
    <col min="5" max="5" width="12.28515625" bestFit="1" customWidth="1"/>
    <col min="6" max="6" width="11.28515625" bestFit="1" customWidth="1"/>
    <col min="7" max="7" width="9.7109375" bestFit="1" customWidth="1"/>
  </cols>
  <sheetData>
    <row r="1" spans="1:10" ht="18" x14ac:dyDescent="0.25">
      <c r="A1" s="8"/>
      <c r="B1" s="8"/>
      <c r="D1" s="3" t="s">
        <v>6</v>
      </c>
      <c r="E1" s="8"/>
      <c r="F1" s="8"/>
      <c r="G1" s="8"/>
      <c r="H1" s="8"/>
      <c r="I1" s="8"/>
      <c r="J1" s="8"/>
    </row>
    <row r="2" spans="1:10" x14ac:dyDescent="0.2">
      <c r="A2" s="7"/>
      <c r="B2" s="7"/>
      <c r="D2" s="4" t="s">
        <v>36</v>
      </c>
      <c r="E2" s="7"/>
      <c r="F2" s="7"/>
      <c r="G2" s="7"/>
      <c r="J2" s="7"/>
    </row>
    <row r="3" spans="1:10" x14ac:dyDescent="0.2">
      <c r="A3" s="7"/>
      <c r="B3" s="7"/>
      <c r="D3" s="21" t="s">
        <v>4</v>
      </c>
      <c r="E3" s="7"/>
      <c r="F3" s="7"/>
      <c r="G3" s="7"/>
      <c r="I3" s="7"/>
      <c r="J3" s="7"/>
    </row>
    <row r="4" spans="1:10" x14ac:dyDescent="0.2">
      <c r="B4" s="7"/>
      <c r="D4" s="9" t="s">
        <v>5</v>
      </c>
      <c r="E4" s="7"/>
      <c r="F4" s="7"/>
      <c r="G4" s="7"/>
      <c r="H4" s="7"/>
      <c r="I4" s="7"/>
      <c r="J4" s="7"/>
    </row>
    <row r="5" spans="1:10" x14ac:dyDescent="0.2">
      <c r="A5" s="7" t="s">
        <v>81</v>
      </c>
      <c r="B5" s="6"/>
      <c r="D5" s="6" t="s">
        <v>37</v>
      </c>
      <c r="E5" s="20">
        <f ca="1">TODAY()</f>
        <v>44454</v>
      </c>
      <c r="F5" s="7"/>
      <c r="G5" s="7"/>
      <c r="H5" s="7"/>
      <c r="I5" s="7"/>
      <c r="J5" s="7"/>
    </row>
    <row r="6" spans="1:10" ht="15.75" x14ac:dyDescent="0.25">
      <c r="A6" s="87" t="s">
        <v>85</v>
      </c>
      <c r="B6" s="87"/>
      <c r="C6" s="87"/>
      <c r="D6" s="13"/>
      <c r="E6" s="13"/>
    </row>
    <row r="7" spans="1:10" ht="15.75" x14ac:dyDescent="0.25">
      <c r="A7" s="15" t="s">
        <v>7</v>
      </c>
      <c r="B7" s="15"/>
      <c r="C7" s="15" t="s">
        <v>8</v>
      </c>
      <c r="D7" s="15" t="s">
        <v>3</v>
      </c>
      <c r="E7" s="15" t="s">
        <v>1</v>
      </c>
    </row>
    <row r="8" spans="1:10" x14ac:dyDescent="0.2">
      <c r="A8" s="2" t="s">
        <v>0</v>
      </c>
      <c r="B8" s="2"/>
      <c r="D8" s="11"/>
      <c r="E8" s="11"/>
    </row>
    <row r="9" spans="1:10" x14ac:dyDescent="0.2">
      <c r="A9" t="s">
        <v>27</v>
      </c>
      <c r="C9" s="32">
        <v>0.2</v>
      </c>
      <c r="D9" s="17">
        <v>0</v>
      </c>
      <c r="E9" s="11">
        <f>+D9*C9</f>
        <v>0</v>
      </c>
    </row>
    <row r="10" spans="1:10" x14ac:dyDescent="0.2">
      <c r="A10" t="s">
        <v>28</v>
      </c>
      <c r="C10" s="32">
        <v>0.5</v>
      </c>
      <c r="D10" s="17">
        <v>0</v>
      </c>
      <c r="E10" s="11">
        <f>+D10*C10</f>
        <v>0</v>
      </c>
    </row>
    <row r="11" spans="1:10" x14ac:dyDescent="0.2">
      <c r="A11" t="s">
        <v>29</v>
      </c>
      <c r="C11" s="32">
        <v>4</v>
      </c>
      <c r="D11" s="17">
        <v>0</v>
      </c>
      <c r="E11" s="11">
        <f>+D11*C11</f>
        <v>0</v>
      </c>
    </row>
    <row r="12" spans="1:10" ht="15" x14ac:dyDescent="0.35">
      <c r="A12" t="s">
        <v>30</v>
      </c>
      <c r="C12" s="32">
        <v>0.25</v>
      </c>
      <c r="D12" s="17">
        <v>0</v>
      </c>
      <c r="E12" s="22">
        <f>+D12*C12</f>
        <v>0</v>
      </c>
    </row>
    <row r="13" spans="1:10" x14ac:dyDescent="0.2">
      <c r="A13" s="2" t="s">
        <v>12</v>
      </c>
      <c r="B13" s="2"/>
      <c r="D13" s="1"/>
      <c r="E13" s="12">
        <f>SUM(E9:E12)</f>
        <v>0</v>
      </c>
    </row>
    <row r="14" spans="1:10" ht="15" x14ac:dyDescent="0.35">
      <c r="A14" t="s">
        <v>31</v>
      </c>
      <c r="D14" s="36">
        <v>0</v>
      </c>
      <c r="E14" s="23">
        <f>+E13*D14</f>
        <v>0</v>
      </c>
    </row>
    <row r="15" spans="1:10" ht="15" x14ac:dyDescent="0.35">
      <c r="A15" s="2" t="s">
        <v>2</v>
      </c>
      <c r="B15" s="2"/>
      <c r="E15" s="16">
        <f>SUM(E13:E14)</f>
        <v>0</v>
      </c>
    </row>
    <row r="17" spans="1:6" x14ac:dyDescent="0.2">
      <c r="A17" s="2" t="s">
        <v>10</v>
      </c>
      <c r="B17" s="2"/>
    </row>
    <row r="18" spans="1:6" x14ac:dyDescent="0.2">
      <c r="A18" t="s">
        <v>32</v>
      </c>
      <c r="D18" s="36">
        <v>0</v>
      </c>
      <c r="E18" s="11">
        <f>+E13*D18</f>
        <v>0</v>
      </c>
    </row>
    <row r="19" spans="1:6" x14ac:dyDescent="0.2">
      <c r="A19" s="4" t="s">
        <v>75</v>
      </c>
      <c r="D19" s="18"/>
      <c r="E19" s="88" t="s">
        <v>87</v>
      </c>
    </row>
    <row r="20" spans="1:6" ht="15" x14ac:dyDescent="0.35">
      <c r="A20" s="4" t="s">
        <v>33</v>
      </c>
      <c r="B20" s="4"/>
      <c r="C20" s="34">
        <v>20000</v>
      </c>
      <c r="D20" s="35">
        <v>0.51500000000000001</v>
      </c>
      <c r="E20" s="22">
        <f>+C20*D20</f>
        <v>10300</v>
      </c>
    </row>
    <row r="21" spans="1:6" ht="15" x14ac:dyDescent="0.35">
      <c r="A21" s="2" t="s">
        <v>11</v>
      </c>
      <c r="B21" s="2"/>
      <c r="E21" s="40">
        <f>SUM(E18:E20)</f>
        <v>10300</v>
      </c>
    </row>
    <row r="22" spans="1:6" x14ac:dyDescent="0.2">
      <c r="A22" s="2"/>
      <c r="B22" s="2"/>
      <c r="F22" s="14"/>
    </row>
    <row r="23" spans="1:6" ht="15" x14ac:dyDescent="0.35">
      <c r="A23" s="2" t="s">
        <v>17</v>
      </c>
      <c r="B23" s="2"/>
      <c r="F23" s="41">
        <f>+E15+E21</f>
        <v>10300</v>
      </c>
    </row>
    <row r="25" spans="1:6" x14ac:dyDescent="0.2">
      <c r="A25" s="2" t="s">
        <v>84</v>
      </c>
    </row>
    <row r="26" spans="1:6" x14ac:dyDescent="0.2">
      <c r="A26" s="2" t="s">
        <v>86</v>
      </c>
    </row>
    <row r="49" spans="1:7" ht="15" x14ac:dyDescent="0.35">
      <c r="A49" s="2" t="s">
        <v>19</v>
      </c>
      <c r="B49" s="2"/>
      <c r="G49" s="19">
        <f>+F23+'MST Services Fees'!F18+'MST Services Fees'!F24</f>
        <v>79650</v>
      </c>
    </row>
    <row r="51" spans="1:7" x14ac:dyDescent="0.2">
      <c r="A51" s="2" t="s">
        <v>20</v>
      </c>
      <c r="B51" s="2"/>
    </row>
    <row r="52" spans="1:7" x14ac:dyDescent="0.2">
      <c r="B52" s="5" t="s">
        <v>22</v>
      </c>
      <c r="C52" s="33">
        <v>5</v>
      </c>
      <c r="D52" t="s">
        <v>26</v>
      </c>
    </row>
    <row r="53" spans="1:7" x14ac:dyDescent="0.2">
      <c r="B53" s="5" t="s">
        <v>23</v>
      </c>
      <c r="C53" s="33">
        <v>4</v>
      </c>
      <c r="D53" t="s">
        <v>46</v>
      </c>
    </row>
    <row r="54" spans="1:7" x14ac:dyDescent="0.2">
      <c r="B54" s="5" t="s">
        <v>21</v>
      </c>
      <c r="C54" s="33">
        <v>1</v>
      </c>
      <c r="D54" t="s">
        <v>47</v>
      </c>
    </row>
    <row r="55" spans="1:7" x14ac:dyDescent="0.2">
      <c r="B55" s="5" t="s">
        <v>24</v>
      </c>
      <c r="C55" s="10">
        <f>+C11*C52*(12/C53)-(C54/0.25)</f>
        <v>56</v>
      </c>
    </row>
    <row r="56" spans="1:7" ht="15" x14ac:dyDescent="0.35">
      <c r="A56" s="37"/>
      <c r="B56" s="38" t="s">
        <v>25</v>
      </c>
      <c r="C56" s="39">
        <f>+G49/C55</f>
        <v>1422.3214285714287</v>
      </c>
      <c r="D56" s="37" t="s">
        <v>45</v>
      </c>
      <c r="E56" s="37"/>
      <c r="F56" s="37"/>
    </row>
    <row r="57" spans="1:7" ht="15" x14ac:dyDescent="0.35">
      <c r="A57" s="38" t="s">
        <v>44</v>
      </c>
      <c r="B57" s="38">
        <f>+C53*30</f>
        <v>120</v>
      </c>
      <c r="C57" s="39">
        <f>+G49/(C55*B57)</f>
        <v>11.852678571428571</v>
      </c>
      <c r="D57" s="37" t="s">
        <v>45</v>
      </c>
      <c r="E57" s="37"/>
      <c r="F57" s="37"/>
    </row>
    <row r="59" spans="1:7" x14ac:dyDescent="0.2">
      <c r="A59" s="25" t="s">
        <v>48</v>
      </c>
    </row>
  </sheetData>
  <phoneticPr fontId="10" type="noConversion"/>
  <pageMargins left="0.75" right="0.75" top="1" bottom="1" header="0.5" footer="0.5"/>
  <pageSetup scale="8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FF18-1E04-447C-8C8E-3E8E4A326D58}">
  <dimension ref="A1:G25"/>
  <sheetViews>
    <sheetView workbookViewId="0">
      <selection activeCell="I19" sqref="I19"/>
    </sheetView>
  </sheetViews>
  <sheetFormatPr defaultRowHeight="12.75" x14ac:dyDescent="0.2"/>
  <cols>
    <col min="1" max="1" width="12.140625" customWidth="1"/>
    <col min="2" max="3" width="13.140625" customWidth="1"/>
    <col min="4" max="4" width="11.5703125" customWidth="1"/>
    <col min="5" max="6" width="11.140625" customWidth="1"/>
  </cols>
  <sheetData>
    <row r="1" spans="1:7" ht="15" x14ac:dyDescent="0.2">
      <c r="A1" s="42" t="s">
        <v>82</v>
      </c>
      <c r="B1" s="43"/>
      <c r="C1" s="44"/>
      <c r="D1" s="44"/>
      <c r="E1" s="44"/>
      <c r="F1" s="44"/>
    </row>
    <row r="2" spans="1:7" ht="15" x14ac:dyDescent="0.2">
      <c r="A2" s="45" t="s">
        <v>7</v>
      </c>
      <c r="B2" s="45"/>
      <c r="C2" s="45" t="s">
        <v>8</v>
      </c>
      <c r="D2" s="45" t="s">
        <v>3</v>
      </c>
      <c r="E2" s="45" t="s">
        <v>1</v>
      </c>
      <c r="F2" s="44"/>
    </row>
    <row r="3" spans="1:7" x14ac:dyDescent="0.2">
      <c r="A3" s="46" t="s">
        <v>9</v>
      </c>
      <c r="B3" s="46"/>
      <c r="C3" s="44"/>
      <c r="D3" s="44"/>
      <c r="E3" s="44"/>
      <c r="F3" s="44"/>
    </row>
    <row r="4" spans="1:7" x14ac:dyDescent="0.2">
      <c r="A4" s="44" t="s">
        <v>34</v>
      </c>
      <c r="B4" s="44"/>
      <c r="C4" s="47">
        <v>1</v>
      </c>
      <c r="D4" s="48">
        <v>4400</v>
      </c>
      <c r="E4" s="48">
        <f>+D4*C4</f>
        <v>4400</v>
      </c>
      <c r="F4" s="44"/>
    </row>
    <row r="5" spans="1:7" ht="15" x14ac:dyDescent="0.35">
      <c r="A5" s="44" t="s">
        <v>35</v>
      </c>
      <c r="B5" s="44"/>
      <c r="C5" s="47">
        <v>1</v>
      </c>
      <c r="D5" s="48">
        <v>2750</v>
      </c>
      <c r="E5" s="49">
        <f>+D5*C5</f>
        <v>2750</v>
      </c>
      <c r="F5" s="44"/>
    </row>
    <row r="6" spans="1:7" x14ac:dyDescent="0.2">
      <c r="A6" s="46" t="s">
        <v>13</v>
      </c>
      <c r="B6" s="46"/>
      <c r="C6" s="50"/>
      <c r="D6" s="48"/>
      <c r="E6" s="51">
        <f>SUM(E4:E5)</f>
        <v>7150</v>
      </c>
      <c r="F6" s="44"/>
    </row>
    <row r="7" spans="1:7" x14ac:dyDescent="0.2">
      <c r="A7" s="44"/>
      <c r="B7" s="44"/>
      <c r="C7" s="50"/>
      <c r="D7" s="44"/>
      <c r="E7" s="44"/>
      <c r="F7" s="44"/>
    </row>
    <row r="8" spans="1:7" ht="15" x14ac:dyDescent="0.35">
      <c r="A8" s="46" t="s">
        <v>14</v>
      </c>
      <c r="B8" s="46"/>
      <c r="C8" s="47">
        <v>1</v>
      </c>
      <c r="D8" s="48">
        <v>12000</v>
      </c>
      <c r="E8" s="52">
        <f>+D8*C8</f>
        <v>12000</v>
      </c>
      <c r="F8" s="44"/>
    </row>
    <row r="9" spans="1:7" x14ac:dyDescent="0.2">
      <c r="A9" s="44"/>
      <c r="B9" s="53" t="s">
        <v>16</v>
      </c>
      <c r="C9" s="50">
        <f>+C8*3</f>
        <v>3</v>
      </c>
      <c r="D9" s="44"/>
      <c r="E9" s="44"/>
      <c r="F9" s="44"/>
    </row>
    <row r="10" spans="1:7" ht="15" x14ac:dyDescent="0.35">
      <c r="A10" s="46" t="s">
        <v>15</v>
      </c>
      <c r="B10" s="46"/>
      <c r="C10" s="47">
        <v>1</v>
      </c>
      <c r="D10" s="48">
        <f>IF(C10=1,C13,D13)+1000</f>
        <v>32600</v>
      </c>
      <c r="E10" s="52">
        <f>+D10*C10</f>
        <v>32600</v>
      </c>
      <c r="F10" s="44"/>
    </row>
    <row r="11" spans="1:7" x14ac:dyDescent="0.2">
      <c r="A11" s="44"/>
      <c r="B11" s="53" t="s">
        <v>78</v>
      </c>
      <c r="C11" s="50">
        <f>IF(C10&gt;0,4,"")</f>
        <v>4</v>
      </c>
      <c r="D11" s="48"/>
      <c r="E11" s="48"/>
      <c r="F11" s="44"/>
    </row>
    <row r="12" spans="1:7" x14ac:dyDescent="0.2">
      <c r="A12" s="44"/>
      <c r="B12" s="53" t="s">
        <v>38</v>
      </c>
      <c r="C12" s="53" t="s">
        <v>80</v>
      </c>
      <c r="D12" s="54" t="s">
        <v>79</v>
      </c>
      <c r="E12" s="44"/>
      <c r="F12" s="44"/>
      <c r="G12" s="24"/>
    </row>
    <row r="13" spans="1:7" x14ac:dyDescent="0.2">
      <c r="A13" s="44"/>
      <c r="B13" s="44"/>
      <c r="C13" s="48">
        <v>31600</v>
      </c>
      <c r="D13" s="48">
        <v>24000</v>
      </c>
      <c r="E13" s="44"/>
      <c r="F13" s="44"/>
      <c r="G13" s="11"/>
    </row>
    <row r="14" spans="1:7" x14ac:dyDescent="0.2">
      <c r="A14" s="44"/>
      <c r="B14" s="44"/>
      <c r="C14" s="44"/>
      <c r="D14" s="44"/>
      <c r="E14" s="44"/>
      <c r="F14" s="44"/>
    </row>
    <row r="15" spans="1:7" ht="15" x14ac:dyDescent="0.35">
      <c r="A15" s="55" t="s">
        <v>76</v>
      </c>
      <c r="B15" s="56"/>
      <c r="C15" s="57"/>
      <c r="D15" s="58">
        <v>1200</v>
      </c>
      <c r="E15" s="52">
        <f>D15*C16</f>
        <v>8400</v>
      </c>
      <c r="F15" s="44"/>
    </row>
    <row r="16" spans="1:7" ht="15" x14ac:dyDescent="0.35">
      <c r="A16" s="55"/>
      <c r="B16" s="53" t="s">
        <v>77</v>
      </c>
      <c r="C16" s="44">
        <f>C9+C11</f>
        <v>7</v>
      </c>
      <c r="D16" s="58"/>
      <c r="E16" s="52"/>
      <c r="F16" s="44"/>
    </row>
    <row r="17" spans="1:6" x14ac:dyDescent="0.2">
      <c r="A17" s="44"/>
      <c r="B17" s="44"/>
      <c r="C17" s="44"/>
      <c r="D17" s="44"/>
      <c r="E17" s="44"/>
      <c r="F17" s="44"/>
    </row>
    <row r="18" spans="1:6" ht="15" x14ac:dyDescent="0.35">
      <c r="A18" s="55" t="s">
        <v>18</v>
      </c>
      <c r="B18" s="55"/>
      <c r="C18" s="44"/>
      <c r="D18" s="44"/>
      <c r="E18" s="44"/>
      <c r="F18" s="59">
        <f>SUM(E6:E15)</f>
        <v>60150</v>
      </c>
    </row>
    <row r="19" spans="1:6" ht="15" x14ac:dyDescent="0.35">
      <c r="A19" s="55"/>
      <c r="B19" s="55"/>
      <c r="C19" s="44"/>
      <c r="D19" s="44"/>
      <c r="E19" s="44"/>
      <c r="F19" s="59"/>
    </row>
    <row r="20" spans="1:6" ht="15" x14ac:dyDescent="0.35">
      <c r="A20" s="55" t="s">
        <v>43</v>
      </c>
      <c r="B20" s="55"/>
      <c r="C20" s="44"/>
      <c r="D20" s="44" t="s">
        <v>3</v>
      </c>
      <c r="E20" s="44" t="s">
        <v>1</v>
      </c>
      <c r="F20" s="59"/>
    </row>
    <row r="21" spans="1:6" ht="15" x14ac:dyDescent="0.35">
      <c r="A21" s="60">
        <v>1</v>
      </c>
      <c r="B21" s="54" t="s">
        <v>39</v>
      </c>
      <c r="C21" s="44"/>
      <c r="D21" s="48">
        <f>100*'Blank Cost Estimator (Fill in)'!C55</f>
        <v>5600</v>
      </c>
      <c r="E21" s="48">
        <f>+IF(A21=1,D21,0)</f>
        <v>5600</v>
      </c>
      <c r="F21" s="59"/>
    </row>
    <row r="22" spans="1:6" ht="15" x14ac:dyDescent="0.35">
      <c r="A22" s="61">
        <f>+'Blank Cost Estimator (Fill in)'!C54</f>
        <v>1</v>
      </c>
      <c r="B22" s="54" t="s">
        <v>42</v>
      </c>
      <c r="C22" s="44"/>
      <c r="D22" s="62">
        <f>IF(A22&gt;0,850+D15*A22,"")</f>
        <v>2050</v>
      </c>
      <c r="E22" s="48">
        <f>+IF(A22&gt;0,D22,0)</f>
        <v>2050</v>
      </c>
      <c r="F22" s="59"/>
    </row>
    <row r="23" spans="1:6" ht="15" x14ac:dyDescent="0.35">
      <c r="A23" s="60">
        <v>1</v>
      </c>
      <c r="B23" s="54" t="s">
        <v>41</v>
      </c>
      <c r="C23" s="44"/>
      <c r="D23" s="62">
        <f>350+D15*A23</f>
        <v>1550</v>
      </c>
      <c r="E23" s="48">
        <f>+IF(A23&gt;0,D23,0)</f>
        <v>1550</v>
      </c>
      <c r="F23" s="59"/>
    </row>
    <row r="24" spans="1:6" ht="15" x14ac:dyDescent="0.35">
      <c r="A24" s="55" t="s">
        <v>40</v>
      </c>
      <c r="B24" s="54"/>
      <c r="C24" s="44"/>
      <c r="D24" s="44"/>
      <c r="E24" s="44"/>
      <c r="F24" s="59">
        <f>SUM(E21:E23)</f>
        <v>9200</v>
      </c>
    </row>
    <row r="25" spans="1:6" x14ac:dyDescent="0.2">
      <c r="A25" s="44"/>
      <c r="B25" s="44"/>
      <c r="C25" s="44"/>
      <c r="D25" s="44"/>
      <c r="E25" s="44"/>
      <c r="F25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H15" sqref="H15"/>
    </sheetView>
  </sheetViews>
  <sheetFormatPr defaultColWidth="9.140625" defaultRowHeight="12.75" x14ac:dyDescent="0.2"/>
  <cols>
    <col min="1" max="1" width="56.28515625" style="26" customWidth="1"/>
    <col min="2" max="2" width="11.5703125" style="26" customWidth="1"/>
    <col min="3" max="3" width="15.85546875" style="26" customWidth="1"/>
    <col min="4" max="4" width="14.140625" style="26" customWidth="1"/>
    <col min="5" max="5" width="15.5703125" style="26" customWidth="1"/>
    <col min="6" max="16384" width="9.140625" style="26"/>
  </cols>
  <sheetData>
    <row r="1" spans="1:7" ht="14.25" x14ac:dyDescent="0.2">
      <c r="A1" s="63" t="s">
        <v>83</v>
      </c>
      <c r="B1" s="64"/>
      <c r="C1" s="64"/>
      <c r="D1" s="64"/>
      <c r="E1" s="64"/>
    </row>
    <row r="2" spans="1:7" x14ac:dyDescent="0.2">
      <c r="A2" s="64" t="s">
        <v>49</v>
      </c>
      <c r="B2" s="64"/>
      <c r="C2" s="64"/>
      <c r="D2" s="64"/>
      <c r="E2" s="64"/>
    </row>
    <row r="3" spans="1:7" x14ac:dyDescent="0.2">
      <c r="A3" s="64"/>
      <c r="B3" s="64"/>
      <c r="C3" s="64"/>
      <c r="D3" s="64"/>
      <c r="E3" s="64"/>
    </row>
    <row r="4" spans="1:7" x14ac:dyDescent="0.2">
      <c r="A4" s="69" t="s">
        <v>50</v>
      </c>
      <c r="B4" s="69"/>
      <c r="C4" s="69"/>
      <c r="D4" s="70">
        <f>'Blank Cost Estimator (Fill in)'!C11</f>
        <v>4</v>
      </c>
      <c r="E4" s="69"/>
    </row>
    <row r="5" spans="1:7" x14ac:dyDescent="0.2">
      <c r="A5" s="69" t="s">
        <v>51</v>
      </c>
      <c r="B5" s="69"/>
      <c r="C5" s="69"/>
      <c r="D5" s="70">
        <f>'Blank Cost Estimator (Fill in)'!C55</f>
        <v>56</v>
      </c>
      <c r="E5" s="69"/>
    </row>
    <row r="6" spans="1:7" x14ac:dyDescent="0.2">
      <c r="A6" s="71" t="s">
        <v>52</v>
      </c>
      <c r="B6" s="69"/>
      <c r="C6" s="69"/>
      <c r="D6" s="72">
        <v>0.25</v>
      </c>
      <c r="E6" s="69"/>
    </row>
    <row r="7" spans="1:7" x14ac:dyDescent="0.2">
      <c r="A7" s="71" t="s">
        <v>53</v>
      </c>
      <c r="B7" s="69"/>
      <c r="C7" s="69"/>
      <c r="D7" s="73">
        <v>0.75</v>
      </c>
      <c r="E7" s="69"/>
      <c r="F7" s="26" t="s">
        <v>54</v>
      </c>
    </row>
    <row r="8" spans="1:7" x14ac:dyDescent="0.2">
      <c r="A8" s="69"/>
      <c r="B8" s="69"/>
      <c r="C8" s="69"/>
      <c r="D8" s="69"/>
      <c r="E8" s="69"/>
    </row>
    <row r="9" spans="1:7" x14ac:dyDescent="0.2">
      <c r="A9" s="69"/>
      <c r="B9" s="70" t="s">
        <v>55</v>
      </c>
      <c r="C9" s="74" t="s">
        <v>56</v>
      </c>
      <c r="D9" s="74" t="s">
        <v>57</v>
      </c>
      <c r="E9" s="70" t="s">
        <v>58</v>
      </c>
    </row>
    <row r="10" spans="1:7" x14ac:dyDescent="0.2">
      <c r="A10" s="69" t="s">
        <v>59</v>
      </c>
      <c r="B10" s="75">
        <v>100</v>
      </c>
      <c r="C10" s="70" t="s">
        <v>60</v>
      </c>
      <c r="D10" s="76">
        <f>D5*D6</f>
        <v>14</v>
      </c>
      <c r="E10" s="77">
        <f>+D11*B10</f>
        <v>1400</v>
      </c>
      <c r="F10" s="28"/>
      <c r="G10" s="27" t="s">
        <v>54</v>
      </c>
    </row>
    <row r="11" spans="1:7" x14ac:dyDescent="0.2">
      <c r="A11" s="69" t="s">
        <v>61</v>
      </c>
      <c r="B11" s="75">
        <v>9</v>
      </c>
      <c r="C11" s="78">
        <v>16</v>
      </c>
      <c r="D11" s="76">
        <f>D5*D6</f>
        <v>14</v>
      </c>
      <c r="E11" s="77">
        <f>+D11*B11*C11</f>
        <v>2016</v>
      </c>
      <c r="F11" s="29"/>
    </row>
    <row r="12" spans="1:7" x14ac:dyDescent="0.2">
      <c r="A12" s="69" t="s">
        <v>62</v>
      </c>
      <c r="B12" s="75">
        <v>3</v>
      </c>
      <c r="C12" s="78">
        <v>10</v>
      </c>
      <c r="D12" s="76">
        <f>D5*D7</f>
        <v>42</v>
      </c>
      <c r="E12" s="77">
        <f>+D12*B12*C12</f>
        <v>1260</v>
      </c>
      <c r="F12" s="29"/>
    </row>
    <row r="13" spans="1:7" x14ac:dyDescent="0.2">
      <c r="A13" s="79"/>
      <c r="B13" s="80"/>
      <c r="C13" s="69"/>
      <c r="D13" s="81" t="s">
        <v>63</v>
      </c>
      <c r="E13" s="82">
        <f>SUM(E10:E12)</f>
        <v>4676</v>
      </c>
      <c r="F13" s="29"/>
    </row>
    <row r="14" spans="1:7" x14ac:dyDescent="0.2">
      <c r="A14" s="89" t="s">
        <v>64</v>
      </c>
      <c r="B14" s="90"/>
      <c r="C14" s="90"/>
      <c r="D14" s="90"/>
      <c r="E14" s="77">
        <f>(E10+E11)/D11</f>
        <v>244</v>
      </c>
      <c r="F14" s="30"/>
    </row>
    <row r="15" spans="1:7" x14ac:dyDescent="0.2">
      <c r="A15" s="89" t="s">
        <v>65</v>
      </c>
      <c r="B15" s="91"/>
      <c r="C15" s="91"/>
      <c r="D15" s="91"/>
      <c r="E15" s="77">
        <f>E12/D12</f>
        <v>30</v>
      </c>
    </row>
    <row r="16" spans="1:7" x14ac:dyDescent="0.2">
      <c r="A16" s="69"/>
      <c r="B16" s="75"/>
      <c r="C16" s="78"/>
      <c r="D16" s="76"/>
      <c r="E16" s="77"/>
    </row>
    <row r="17" spans="1:10" x14ac:dyDescent="0.2">
      <c r="A17" s="69"/>
      <c r="B17" s="75"/>
      <c r="C17" s="70" t="s">
        <v>66</v>
      </c>
      <c r="D17" s="70" t="s">
        <v>54</v>
      </c>
      <c r="E17" s="77" t="s">
        <v>54</v>
      </c>
    </row>
    <row r="18" spans="1:10" x14ac:dyDescent="0.2">
      <c r="A18" s="69" t="s">
        <v>67</v>
      </c>
      <c r="B18" s="83">
        <v>50</v>
      </c>
      <c r="C18" s="70">
        <f>'Blank Cost Estimator (Fill in)'!C11+'MST Services Fees'!C5</f>
        <v>5</v>
      </c>
      <c r="D18" s="70" t="s">
        <v>54</v>
      </c>
      <c r="E18" s="77">
        <f>B18*C18</f>
        <v>250</v>
      </c>
    </row>
    <row r="19" spans="1:10" x14ac:dyDescent="0.2">
      <c r="A19" s="84" t="s">
        <v>68</v>
      </c>
      <c r="B19" s="69"/>
      <c r="C19" s="69"/>
      <c r="D19" s="69"/>
      <c r="E19" s="77"/>
    </row>
    <row r="20" spans="1:10" x14ac:dyDescent="0.2">
      <c r="A20" s="84"/>
      <c r="B20" s="69"/>
      <c r="C20" s="69"/>
      <c r="D20" s="69"/>
      <c r="E20" s="77"/>
    </row>
    <row r="21" spans="1:10" x14ac:dyDescent="0.2">
      <c r="A21" s="69"/>
      <c r="B21" s="69"/>
      <c r="C21" s="69"/>
      <c r="D21" s="85" t="s">
        <v>69</v>
      </c>
      <c r="E21" s="82">
        <f>SUM(E17:E20)</f>
        <v>250</v>
      </c>
      <c r="J21" s="26" t="s">
        <v>54</v>
      </c>
    </row>
    <row r="22" spans="1:10" x14ac:dyDescent="0.2">
      <c r="A22" s="69"/>
      <c r="B22" s="69"/>
      <c r="C22" s="69"/>
      <c r="D22" s="69"/>
      <c r="E22" s="69"/>
    </row>
    <row r="23" spans="1:10" x14ac:dyDescent="0.2">
      <c r="A23" s="69"/>
      <c r="B23" s="69"/>
      <c r="C23" s="69"/>
      <c r="D23" s="69"/>
      <c r="E23" s="69"/>
    </row>
    <row r="24" spans="1:10" ht="14.25" x14ac:dyDescent="0.2">
      <c r="A24" s="69"/>
      <c r="B24" s="69"/>
      <c r="C24" s="69"/>
      <c r="D24" s="85" t="s">
        <v>70</v>
      </c>
      <c r="E24" s="86">
        <f>+(E13)+E21</f>
        <v>4926</v>
      </c>
      <c r="G24" s="31"/>
    </row>
    <row r="25" spans="1:10" x14ac:dyDescent="0.2">
      <c r="A25" s="64"/>
      <c r="B25" s="64"/>
      <c r="C25" s="64"/>
      <c r="D25" s="64"/>
      <c r="E25" s="66"/>
    </row>
    <row r="26" spans="1:10" x14ac:dyDescent="0.2">
      <c r="A26" s="64"/>
      <c r="B26" s="64"/>
      <c r="C26" s="68"/>
      <c r="D26" s="68"/>
      <c r="E26" s="67"/>
    </row>
    <row r="27" spans="1:10" x14ac:dyDescent="0.2">
      <c r="A27" s="64" t="s">
        <v>71</v>
      </c>
      <c r="B27" s="64"/>
      <c r="C27" s="68"/>
      <c r="D27" s="68"/>
      <c r="E27" s="67"/>
    </row>
    <row r="28" spans="1:10" x14ac:dyDescent="0.2">
      <c r="A28" s="64" t="s">
        <v>72</v>
      </c>
      <c r="B28" s="64"/>
      <c r="C28" s="64"/>
      <c r="D28" s="64"/>
      <c r="E28" s="64"/>
    </row>
    <row r="29" spans="1:10" x14ac:dyDescent="0.2">
      <c r="A29" s="64" t="s">
        <v>73</v>
      </c>
      <c r="B29" s="64"/>
      <c r="C29" s="68"/>
      <c r="D29" s="65"/>
      <c r="E29" s="66"/>
      <c r="G29" s="27"/>
    </row>
    <row r="30" spans="1:10" x14ac:dyDescent="0.2">
      <c r="A30" s="64"/>
      <c r="B30" s="64"/>
      <c r="C30" s="64"/>
      <c r="D30" s="64"/>
      <c r="E30" s="64"/>
    </row>
    <row r="31" spans="1:10" x14ac:dyDescent="0.2">
      <c r="A31" s="64" t="s">
        <v>74</v>
      </c>
      <c r="B31" s="64"/>
      <c r="C31" s="64"/>
      <c r="D31" s="64"/>
      <c r="E31" s="64"/>
    </row>
    <row r="33" spans="1:1" x14ac:dyDescent="0.2">
      <c r="A33" s="26" t="s">
        <v>54</v>
      </c>
    </row>
  </sheetData>
  <mergeCells count="2">
    <mergeCell ref="A14:D14"/>
    <mergeCell ref="A15:D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3C3B0824CE64C913E86A219B0A9AB" ma:contentTypeVersion="0" ma:contentTypeDescription="Create a new document." ma:contentTypeScope="" ma:versionID="3cd9a84ccab2db46bdf6c7a0d75d19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BBCE5-D09F-4599-A1CD-74076B87FF68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8B9AD9-F0DD-4C22-AE7B-9FE4A5E35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B18912-C103-4CB3-A720-FD3C45A910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Cost Estimator (Fill in)</vt:lpstr>
      <vt:lpstr>MST Services Fees</vt:lpstr>
      <vt:lpstr>SA Resources</vt:lpstr>
    </vt:vector>
  </TitlesOfParts>
  <Company>65G Consulting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www.mstservices.com</dc:creator>
  <cp:lastModifiedBy>Bob Sayles</cp:lastModifiedBy>
  <cp:lastPrinted>2015-05-27T17:23:30Z</cp:lastPrinted>
  <dcterms:created xsi:type="dcterms:W3CDTF">2003-03-06T16:20:38Z</dcterms:created>
  <dcterms:modified xsi:type="dcterms:W3CDTF">2021-09-15T18:40:23Z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0x010100BB13C3B0824CE64C913E86A219B0A9AB</vt:lpwstr>
  </property>
</Properties>
</file>